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\Bill\Water Rate Studies\2024-25\PR\Website\"/>
    </mc:Choice>
  </mc:AlternateContent>
  <xr:revisionPtr revIDLastSave="0" documentId="8_{E7895517-844C-4E44-AC82-EAFE9692E4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ll Calculator" sheetId="1" r:id="rId1"/>
    <sheet name="Rates" sheetId="3" r:id="rId2"/>
    <sheet name="Upsize-Downsize Bi-monthly Fees" sheetId="4" state="hidden" r:id="rId3"/>
  </sheets>
  <definedNames>
    <definedName name="_xlnm.Print_Area" localSheetId="0">'Bill Calculator'!$B$3:$J$30</definedName>
    <definedName name="_xlnm.Print_Area" localSheetId="2">'Upsize-Downsize Bi-monthly Fees'!$A$31:$L$52</definedName>
  </definedNames>
  <calcPr calcId="191029"/>
  <customWorkbookViews>
    <customWorkbookView name="Bill Calculator" guid="{EB387EBA-E6E1-47AF-8A69-83D014CFC1B3}" maximized="1" windowWidth="1072" windowHeight="76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2" i="1" l="1"/>
  <c r="H105" i="1"/>
  <c r="E100" i="1"/>
  <c r="E101" i="1"/>
  <c r="E99" i="1"/>
  <c r="D106" i="1"/>
  <c r="D112" i="1" s="1"/>
  <c r="H91" i="1"/>
  <c r="H84" i="1"/>
  <c r="E79" i="1"/>
  <c r="E80" i="1"/>
  <c r="E78" i="1"/>
  <c r="D85" i="1"/>
  <c r="D91" i="1" s="1"/>
  <c r="H70" i="1"/>
  <c r="H63" i="1"/>
  <c r="E58" i="1"/>
  <c r="E59" i="1"/>
  <c r="E57" i="1"/>
  <c r="D64" i="1"/>
  <c r="D70" i="1" s="1"/>
  <c r="H49" i="1"/>
  <c r="H42" i="1"/>
  <c r="E37" i="1"/>
  <c r="E38" i="1"/>
  <c r="E36" i="1"/>
  <c r="D43" i="1"/>
  <c r="D49" i="1" s="1"/>
  <c r="D27" i="1" l="1"/>
  <c r="B226" i="1"/>
  <c r="B227" i="1"/>
  <c r="B228" i="1"/>
  <c r="B225" i="1"/>
  <c r="H27" i="1" s="1"/>
  <c r="F22" i="3"/>
  <c r="F21" i="3"/>
  <c r="F20" i="3"/>
  <c r="F19" i="3"/>
  <c r="L29" i="3"/>
  <c r="D227" i="1"/>
  <c r="G36" i="1" l="1"/>
  <c r="G78" i="1"/>
  <c r="G57" i="1"/>
  <c r="G99" i="1"/>
  <c r="D228" i="1"/>
  <c r="G14" i="1"/>
  <c r="J9" i="3"/>
  <c r="J10" i="3"/>
  <c r="J11" i="3"/>
  <c r="J12" i="3"/>
  <c r="J13" i="3"/>
  <c r="J14" i="3"/>
  <c r="J15" i="3"/>
  <c r="J16" i="3"/>
  <c r="J17" i="3"/>
  <c r="J8" i="3"/>
  <c r="H99" i="1" l="1"/>
  <c r="H57" i="1"/>
  <c r="H78" i="1"/>
  <c r="G37" i="1"/>
  <c r="H37" i="1" s="1"/>
  <c r="G100" i="1"/>
  <c r="H100" i="1" s="1"/>
  <c r="G79" i="1"/>
  <c r="H79" i="1" s="1"/>
  <c r="G58" i="1"/>
  <c r="H58" i="1" s="1"/>
  <c r="H36" i="1"/>
  <c r="D229" i="1"/>
  <c r="G15" i="1"/>
  <c r="F17" i="3"/>
  <c r="F16" i="3"/>
  <c r="F15" i="3"/>
  <c r="F14" i="3"/>
  <c r="F13" i="3"/>
  <c r="F12" i="3"/>
  <c r="F11" i="3"/>
  <c r="F10" i="3"/>
  <c r="F9" i="3"/>
  <c r="F8" i="3"/>
  <c r="G38" i="1" l="1"/>
  <c r="H38" i="1" s="1"/>
  <c r="H39" i="1" s="1"/>
  <c r="G80" i="1"/>
  <c r="G59" i="1"/>
  <c r="H59" i="1" s="1"/>
  <c r="H60" i="1" s="1"/>
  <c r="G101" i="1"/>
  <c r="H101" i="1" s="1"/>
  <c r="H102" i="1" s="1"/>
  <c r="G16" i="1"/>
  <c r="S14" i="4"/>
  <c r="S13" i="4"/>
  <c r="S12" i="4"/>
  <c r="S11" i="4"/>
  <c r="S10" i="4"/>
  <c r="S9" i="4"/>
  <c r="U9" i="4" s="1"/>
  <c r="P11" i="4"/>
  <c r="P14" i="4"/>
  <c r="F22" i="4"/>
  <c r="E24" i="4"/>
  <c r="K14" i="4"/>
  <c r="P9" i="4"/>
  <c r="D21" i="4"/>
  <c r="D22" i="4"/>
  <c r="F25" i="4"/>
  <c r="F26" i="4"/>
  <c r="F23" i="4"/>
  <c r="F21" i="4"/>
  <c r="E26" i="4"/>
  <c r="E25" i="4"/>
  <c r="E22" i="4"/>
  <c r="E21" i="4"/>
  <c r="D26" i="4"/>
  <c r="D25" i="4"/>
  <c r="D24" i="4"/>
  <c r="D23" i="4"/>
  <c r="U11" i="4"/>
  <c r="B20" i="4"/>
  <c r="B19" i="4"/>
  <c r="B8" i="4"/>
  <c r="B7" i="4"/>
  <c r="U8" i="4"/>
  <c r="P8" i="4"/>
  <c r="K8" i="4"/>
  <c r="F8" i="4"/>
  <c r="F20" i="4"/>
  <c r="E20" i="4"/>
  <c r="D20" i="4"/>
  <c r="E4" i="4"/>
  <c r="K33" i="4" s="1"/>
  <c r="E2" i="4"/>
  <c r="K31" i="4" s="1"/>
  <c r="E3" i="4"/>
  <c r="K32" i="4" s="1"/>
  <c r="A3" i="4"/>
  <c r="G32" i="4"/>
  <c r="A4" i="4"/>
  <c r="G33" i="4" s="1"/>
  <c r="A2" i="4"/>
  <c r="G31" i="4" s="1"/>
  <c r="B210" i="1"/>
  <c r="E14" i="1"/>
  <c r="E15" i="1"/>
  <c r="E16" i="1"/>
  <c r="F191" i="1"/>
  <c r="E13" i="1"/>
  <c r="D24" i="1"/>
  <c r="D21" i="1"/>
  <c r="D18" i="1"/>
  <c r="B12" i="4"/>
  <c r="B24" i="4" s="1"/>
  <c r="B9" i="4"/>
  <c r="B21" i="4" s="1"/>
  <c r="B11" i="4"/>
  <c r="B23" i="4" s="1"/>
  <c r="A22" i="4"/>
  <c r="A23" i="4"/>
  <c r="A24" i="4"/>
  <c r="A25" i="4"/>
  <c r="A26" i="4"/>
  <c r="A21" i="4"/>
  <c r="U13" i="4"/>
  <c r="P10" i="4"/>
  <c r="P13" i="4"/>
  <c r="K13" i="4"/>
  <c r="K9" i="4"/>
  <c r="F10" i="4"/>
  <c r="F11" i="4"/>
  <c r="F12" i="4"/>
  <c r="F13" i="4"/>
  <c r="F14" i="4"/>
  <c r="F9" i="4"/>
  <c r="B14" i="4"/>
  <c r="B26" i="4" s="1"/>
  <c r="B13" i="4"/>
  <c r="B10" i="4"/>
  <c r="B207" i="1"/>
  <c r="H20" i="1" s="1"/>
  <c r="F188" i="1"/>
  <c r="D203" i="1"/>
  <c r="F203" i="1"/>
  <c r="E183" i="1"/>
  <c r="A203" i="1"/>
  <c r="B208" i="1"/>
  <c r="B209" i="1"/>
  <c r="B211" i="1"/>
  <c r="B212" i="1"/>
  <c r="B213" i="1"/>
  <c r="B214" i="1"/>
  <c r="B215" i="1"/>
  <c r="B206" i="1"/>
  <c r="F189" i="1"/>
  <c r="F190" i="1"/>
  <c r="F192" i="1"/>
  <c r="F193" i="1"/>
  <c r="F194" i="1"/>
  <c r="F195" i="1"/>
  <c r="F196" i="1"/>
  <c r="F187" i="1"/>
  <c r="I210" i="1"/>
  <c r="I207" i="1"/>
  <c r="J210" i="1"/>
  <c r="J207" i="1"/>
  <c r="R11" i="1"/>
  <c r="I206" i="1"/>
  <c r="J206" i="1"/>
  <c r="F16" i="1"/>
  <c r="J215" i="1"/>
  <c r="I215" i="1"/>
  <c r="J214" i="1"/>
  <c r="I214" i="1"/>
  <c r="J213" i="1"/>
  <c r="I213" i="1"/>
  <c r="J212" i="1"/>
  <c r="I212" i="1"/>
  <c r="J211" i="1"/>
  <c r="I211" i="1"/>
  <c r="F227" i="1" s="1"/>
  <c r="J209" i="1"/>
  <c r="I209" i="1"/>
  <c r="J208" i="1"/>
  <c r="I208" i="1"/>
  <c r="F38" i="1" l="1"/>
  <c r="F101" i="1"/>
  <c r="F59" i="1"/>
  <c r="F80" i="1"/>
  <c r="H87" i="1"/>
  <c r="H108" i="1"/>
  <c r="H115" i="1" s="1"/>
  <c r="H66" i="1"/>
  <c r="H73" i="1" s="1"/>
  <c r="F78" i="1"/>
  <c r="F100" i="1"/>
  <c r="F58" i="1"/>
  <c r="F79" i="1"/>
  <c r="F99" i="1"/>
  <c r="F57" i="1"/>
  <c r="G102" i="1"/>
  <c r="H80" i="1"/>
  <c r="H81" i="1" s="1"/>
  <c r="G81" i="1"/>
  <c r="G60" i="1"/>
  <c r="G39" i="1"/>
  <c r="F36" i="1"/>
  <c r="F37" i="1"/>
  <c r="H23" i="1"/>
  <c r="U23" i="1" s="1"/>
  <c r="H45" i="1"/>
  <c r="H52" i="1" s="1"/>
  <c r="F14" i="1"/>
  <c r="F228" i="1"/>
  <c r="F229" i="1" s="1"/>
  <c r="F15" i="1"/>
  <c r="G14" i="4"/>
  <c r="E14" i="4" s="1"/>
  <c r="Q14" i="4"/>
  <c r="O14" i="4" s="1"/>
  <c r="G11" i="4"/>
  <c r="E11" i="4" s="1"/>
  <c r="B25" i="4"/>
  <c r="K50" i="4" s="1"/>
  <c r="G13" i="4"/>
  <c r="E13" i="4" s="1"/>
  <c r="L13" i="4"/>
  <c r="J13" i="4" s="1"/>
  <c r="V11" i="4"/>
  <c r="T11" i="4" s="1"/>
  <c r="G10" i="4"/>
  <c r="E10" i="4" s="1"/>
  <c r="B22" i="4"/>
  <c r="K39" i="4" s="1"/>
  <c r="I24" i="4"/>
  <c r="K48" i="4"/>
  <c r="G12" i="4"/>
  <c r="E12" i="4" s="1"/>
  <c r="Q10" i="4"/>
  <c r="O10" i="4" s="1"/>
  <c r="Q9" i="4"/>
  <c r="O9" i="4" s="1"/>
  <c r="G9" i="4"/>
  <c r="E9" i="4" s="1"/>
  <c r="L9" i="4"/>
  <c r="J9" i="4" s="1"/>
  <c r="L14" i="4"/>
  <c r="J14" i="4" s="1"/>
  <c r="Q11" i="4"/>
  <c r="O11" i="4" s="1"/>
  <c r="V9" i="4"/>
  <c r="T9" i="4" s="1"/>
  <c r="I40" i="4"/>
  <c r="K12" i="4"/>
  <c r="L12" i="4" s="1"/>
  <c r="J12" i="4" s="1"/>
  <c r="U12" i="4"/>
  <c r="V12" i="4" s="1"/>
  <c r="T12" i="4" s="1"/>
  <c r="F24" i="4"/>
  <c r="K11" i="4"/>
  <c r="L11" i="4" s="1"/>
  <c r="J11" i="4" s="1"/>
  <c r="P12" i="4"/>
  <c r="Q12" i="4" s="1"/>
  <c r="O12" i="4" s="1"/>
  <c r="E23" i="4"/>
  <c r="K10" i="4"/>
  <c r="L10" i="4" s="1"/>
  <c r="J10" i="4" s="1"/>
  <c r="U10" i="4"/>
  <c r="V10" i="4" s="1"/>
  <c r="T10" i="4" s="1"/>
  <c r="U14" i="4"/>
  <c r="V14" i="4" s="1"/>
  <c r="T14" i="4" s="1"/>
  <c r="K40" i="4"/>
  <c r="Q13" i="4"/>
  <c r="O13" i="4" s="1"/>
  <c r="V13" i="4"/>
  <c r="T13" i="4" s="1"/>
  <c r="H14" i="1"/>
  <c r="H94" i="1" l="1"/>
  <c r="U21" i="1"/>
  <c r="I26" i="4"/>
  <c r="K25" i="4"/>
  <c r="I23" i="4"/>
  <c r="K23" i="4"/>
  <c r="K44" i="4"/>
  <c r="J25" i="4"/>
  <c r="I22" i="4"/>
  <c r="I39" i="4"/>
  <c r="K43" i="4"/>
  <c r="I25" i="4"/>
  <c r="K22" i="4"/>
  <c r="J23" i="4"/>
  <c r="I43" i="4"/>
  <c r="K49" i="4"/>
  <c r="J22" i="4"/>
  <c r="I45" i="4"/>
  <c r="J26" i="4"/>
  <c r="K26" i="4"/>
  <c r="I49" i="4"/>
  <c r="K45" i="4"/>
  <c r="J24" i="4"/>
  <c r="I50" i="4"/>
  <c r="I48" i="4"/>
  <c r="I44" i="4"/>
  <c r="K24" i="4"/>
  <c r="H15" i="1"/>
  <c r="H16" i="1" l="1"/>
  <c r="H17" i="1" s="1"/>
  <c r="H30" i="1" l="1"/>
  <c r="G17" i="1"/>
  <c r="R4" i="1" s="1"/>
  <c r="R5" i="1" s="1"/>
  <c r="R13" i="1" s="1"/>
  <c r="F165" i="1" l="1"/>
  <c r="R14" i="1"/>
  <c r="R7" i="1"/>
  <c r="U12" i="1"/>
  <c r="U13" i="1" s="1"/>
  <c r="U14" i="1" s="1"/>
  <c r="R6" i="1"/>
  <c r="U11" i="1" l="1"/>
</calcChain>
</file>

<file path=xl/sharedStrings.xml><?xml version="1.0" encoding="utf-8"?>
<sst xmlns="http://schemas.openxmlformats.org/spreadsheetml/2006/main" count="405" uniqueCount="170">
  <si>
    <t xml:space="preserve">Are You Billed Monthly Or Bi-Monthly (use drop down menu) :  </t>
  </si>
  <si>
    <t>Vista Irrigation District</t>
  </si>
  <si>
    <t>3/4"</t>
  </si>
  <si>
    <t>Tier</t>
  </si>
  <si>
    <t>Charge</t>
  </si>
  <si>
    <t>Tier 1</t>
  </si>
  <si>
    <t>Tier 2</t>
  </si>
  <si>
    <t>Tier 3</t>
  </si>
  <si>
    <t>Water Usage Charge</t>
  </si>
  <si>
    <t>Service Charge</t>
  </si>
  <si>
    <t>MODEL CALCULATION DATA - NOT PART OF WHAT CUSTOMER SEES</t>
  </si>
  <si>
    <t>BILL SUMMARY (Calculated Above)</t>
  </si>
  <si>
    <t>Sample Bill - Current Rates</t>
  </si>
  <si>
    <t>METER SIZE LIST FOR DROP DOWN MENU</t>
  </si>
  <si>
    <t>Meter Size</t>
  </si>
  <si>
    <t>5/8"</t>
  </si>
  <si>
    <t>1"</t>
  </si>
  <si>
    <t>1 1/2"</t>
  </si>
  <si>
    <t>2"</t>
  </si>
  <si>
    <t>3"</t>
  </si>
  <si>
    <t>4"</t>
  </si>
  <si>
    <t>6"</t>
  </si>
  <si>
    <t>8"</t>
  </si>
  <si>
    <t>10"</t>
  </si>
  <si>
    <t>METER CHARGE</t>
  </si>
  <si>
    <t xml:space="preserve">What Size Meter (top left of your bill) Do You Have (use drop down menu) :  </t>
  </si>
  <si>
    <t xml:space="preserve">How Many Units (top right of your bill) Of Water Do You Use (1 Unit = 748 Gallons):  </t>
  </si>
  <si>
    <t>MONTHLY TIER DATA</t>
  </si>
  <si>
    <t>BI MONTHLY TIER DATA</t>
  </si>
  <si>
    <t>Bi-Monthly</t>
  </si>
  <si>
    <t>Please maximize the screen to ensure you see the entire calculator.</t>
  </si>
  <si>
    <t>Monthly</t>
  </si>
  <si>
    <t>Emergency Water Storage Fee</t>
  </si>
  <si>
    <t>SAMPLE BILL</t>
  </si>
  <si>
    <t>Cost per Gallon</t>
  </si>
  <si>
    <t>Gallons Used</t>
  </si>
  <si>
    <t>Units Used</t>
  </si>
  <si>
    <t>Cost per Unit</t>
  </si>
  <si>
    <t>submeter gallons</t>
  </si>
  <si>
    <t>remaining gallons</t>
  </si>
  <si>
    <t>submeter units</t>
  </si>
  <si>
    <t>remaining units</t>
  </si>
  <si>
    <t>of bill</t>
  </si>
  <si>
    <t>Cost per Gallon of Water</t>
  </si>
  <si>
    <t>CWA MONTHLY</t>
  </si>
  <si>
    <t>MONTHLY METER FEE</t>
  </si>
  <si>
    <t>VISTA IRRIGATION DISTRICT  RATE AND FEE SCHEDULE</t>
  </si>
  <si>
    <t>METER SIZE</t>
  </si>
  <si>
    <t xml:space="preserve">MONTHLY SERVICE CHARGE        </t>
  </si>
  <si>
    <t xml:space="preserve">BI-MONTHLY SERVICE CHARGE       </t>
  </si>
  <si>
    <t xml:space="preserve"> MONTHLY SDCWA  CHARGE</t>
  </si>
  <si>
    <t>BI-MONTHLY SDCWA CHARGE</t>
  </si>
  <si>
    <t>3/4"  &amp;  3/41"</t>
  </si>
  <si>
    <t>MONTHLY WATER ALLOTMENTS BY TIER (UNITS)</t>
  </si>
  <si>
    <t>WATER USAGE CHARGE</t>
  </si>
  <si>
    <t>TIER 1</t>
  </si>
  <si>
    <t>TIER 2</t>
  </si>
  <si>
    <t>TIER 3</t>
  </si>
  <si>
    <t>43+</t>
  </si>
  <si>
    <t>61+</t>
  </si>
  <si>
    <t>151+</t>
  </si>
  <si>
    <t>301+</t>
  </si>
  <si>
    <t>AG DOMESTIC</t>
  </si>
  <si>
    <t>481+</t>
  </si>
  <si>
    <t>961+</t>
  </si>
  <si>
    <t>1,501+</t>
  </si>
  <si>
    <t>SAWR AG RATE</t>
  </si>
  <si>
    <t>3,001+</t>
  </si>
  <si>
    <t>4,801+</t>
  </si>
  <si>
    <t>6,901+</t>
  </si>
  <si>
    <t>* 1 UNIT (100 CUBIC FEET) = 748 GALLONS</t>
  </si>
  <si>
    <t>VID</t>
  </si>
  <si>
    <t>PER UNIT *</t>
  </si>
  <si>
    <t xml:space="preserve">Sample Bill - New Rates </t>
  </si>
  <si>
    <t>Locked Bill with No Usage</t>
  </si>
  <si>
    <t>COST PER GALLON</t>
  </si>
  <si>
    <t>Cost per Gal</t>
  </si>
  <si>
    <t>20 units</t>
  </si>
  <si>
    <t>1000 units</t>
  </si>
  <si>
    <t>160 units</t>
  </si>
  <si>
    <t>Upsize Monthly Fee Increase 20units</t>
  </si>
  <si>
    <t>Total          Bi-monthly Bill</t>
  </si>
  <si>
    <t>Bi-monthly Usage Cost</t>
  </si>
  <si>
    <t>Usage             1 unit</t>
  </si>
  <si>
    <t>Usage             Max Tier 1</t>
  </si>
  <si>
    <t>Usage             Max Tier 2</t>
  </si>
  <si>
    <t>Usage             Tier 3 + 10 units</t>
  </si>
  <si>
    <t>Upsize Monthly Fee Increase  160units</t>
  </si>
  <si>
    <t>Upsize Monthly Fee Increase 1000units</t>
  </si>
  <si>
    <t>from 5/8" to 3/4"</t>
  </si>
  <si>
    <t>Effective</t>
  </si>
  <si>
    <t>from 5/8" to 1"</t>
  </si>
  <si>
    <t>from 3/4" to 1"</t>
  </si>
  <si>
    <t>from 3/4" to 1 1/2"</t>
  </si>
  <si>
    <t>from 3/4" to 2"</t>
  </si>
  <si>
    <t>from 1" to 1 1/2"</t>
  </si>
  <si>
    <t>from 1" to 2"</t>
  </si>
  <si>
    <t>from 1 1/2" to 2"</t>
  </si>
  <si>
    <t>to</t>
  </si>
  <si>
    <t>Approximately</t>
  </si>
  <si>
    <t>Upsize</t>
  </si>
  <si>
    <t>Additional Cost</t>
  </si>
  <si>
    <t>Downsize</t>
  </si>
  <si>
    <t>Savings</t>
  </si>
  <si>
    <t>Bi-monthly Fee Increase/ Decrease</t>
  </si>
  <si>
    <t>Approximate Meter Upsize/ Downsize</t>
  </si>
  <si>
    <t>from 1" to 3/4"</t>
  </si>
  <si>
    <t>from 1 1/2" to 3/4"</t>
  </si>
  <si>
    <t>from 2" to 3/4"</t>
  </si>
  <si>
    <t>from 1 1/2" to 1"</t>
  </si>
  <si>
    <t>from 2" to 1"</t>
  </si>
  <si>
    <t>from 2" to 1 1/2"</t>
  </si>
  <si>
    <t xml:space="preserve">Approximate bi-monthly fee increase when upsize meter size or savings when downsize meter size.  </t>
  </si>
  <si>
    <t>Tier Rate: Water Usage Charge</t>
  </si>
  <si>
    <t>Range</t>
  </si>
  <si>
    <t>Usage</t>
  </si>
  <si>
    <t>Tier Rate</t>
  </si>
  <si>
    <t>Emergency Water Storage Fee (CWA)</t>
  </si>
  <si>
    <t>VID                     Bi-monthly Service &amp;          CWA charges - rates effective</t>
  </si>
  <si>
    <t xml:space="preserve"> VID                Bi-monthly Service &amp;          CWA charges - rates effective</t>
  </si>
  <si>
    <t>Bi-monthly</t>
  </si>
  <si>
    <t xml:space="preserve">=Service Charge + Emergency Water Storage </t>
  </si>
  <si>
    <t>0-4</t>
  </si>
  <si>
    <t>0-6</t>
  </si>
  <si>
    <t>0-15</t>
  </si>
  <si>
    <t>0-30</t>
  </si>
  <si>
    <t>0-48</t>
  </si>
  <si>
    <t>0-96</t>
  </si>
  <si>
    <t>0-150</t>
  </si>
  <si>
    <t>0-300</t>
  </si>
  <si>
    <t>0-480</t>
  </si>
  <si>
    <t>0-690</t>
  </si>
  <si>
    <t>5-42</t>
  </si>
  <si>
    <t>7-60</t>
  </si>
  <si>
    <t>16-150</t>
  </si>
  <si>
    <t>31-300</t>
  </si>
  <si>
    <t>49-480</t>
  </si>
  <si>
    <t>97-960</t>
  </si>
  <si>
    <t>151-1,500</t>
  </si>
  <si>
    <t>301-3,000</t>
  </si>
  <si>
    <t>691-6,900</t>
  </si>
  <si>
    <t>481-4,800</t>
  </si>
  <si>
    <t>WATER BILL CALCULATOR</t>
  </si>
  <si>
    <t>EMERGENCY WATER STORAGE FEE                          AS OF 1/1/26</t>
  </si>
  <si>
    <t>AS OF 1/1/26</t>
  </si>
  <si>
    <t>SERVICE CHARGE AS OF 1/1/26        LOCKED METERS ARE BILLED AT 1/4 OF THE SERVICE CHARGE</t>
  </si>
  <si>
    <t>Effective 1/1/26</t>
  </si>
  <si>
    <t>(1/1/26)</t>
  </si>
  <si>
    <t>(1/1/25)</t>
  </si>
  <si>
    <t>Effective 1/1/25</t>
  </si>
  <si>
    <t>Fire Service</t>
  </si>
  <si>
    <t>Fire Service Charge</t>
  </si>
  <si>
    <t xml:space="preserve">Fire Service? Call Customer Service to get Meter Size. Do You Have (use drop down menu) :  </t>
  </si>
  <si>
    <t>Fire</t>
  </si>
  <si>
    <t>N/A</t>
  </si>
  <si>
    <t>3/4" or 3/41"</t>
  </si>
  <si>
    <t>Calendar Year 2026</t>
  </si>
  <si>
    <t>Total Bill Calendar Year 2026</t>
  </si>
  <si>
    <t>Effective 1/1/27</t>
  </si>
  <si>
    <t>Calendar Year 2027</t>
  </si>
  <si>
    <t>Total Bill Calendar Year 2027</t>
  </si>
  <si>
    <t>Effective 1/1/28</t>
  </si>
  <si>
    <t>Calendar Year 2028</t>
  </si>
  <si>
    <t>Calendar Year 2029</t>
  </si>
  <si>
    <t>Effective 1/1/29</t>
  </si>
  <si>
    <t>Calendar Year 2030</t>
  </si>
  <si>
    <t>Effective 1/1/30</t>
  </si>
  <si>
    <t>The following years do not include the SDCWA pass-through.</t>
  </si>
  <si>
    <t>Meter Size under 4" will have a charge of $0</t>
  </si>
  <si>
    <t>Proposed Rates 2026-2030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</si>
</sst>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m/d/yy;@"/>
    <numFmt numFmtId="167" formatCode="_(&quot;$&quot;* #,##0.0000_);_(&quot;$&quot;* \(#,##0.0000\);_(&quot;$&quot;* &quot;-&quot;??_);_(@_)"/>
    <numFmt numFmtId="168" formatCode="&quot;$&quot;#,##0.00"/>
    <numFmt numFmtId="169" formatCode="&quot;$&quot;#,##0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indexed="22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4" fillId="2" borderId="1" xfId="0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4" fillId="0" borderId="2" xfId="0" applyFont="1" applyBorder="1" applyAlignment="1">
      <alignment horizontal="right"/>
    </xf>
    <xf numFmtId="3" fontId="4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 wrapText="1"/>
    </xf>
    <xf numFmtId="44" fontId="0" fillId="0" borderId="0" xfId="0" applyNumberFormat="1"/>
    <xf numFmtId="14" fontId="0" fillId="0" borderId="0" xfId="0" applyNumberFormat="1"/>
    <xf numFmtId="0" fontId="1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8" fontId="1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43" fontId="9" fillId="0" borderId="0" xfId="0" applyNumberFormat="1" applyFont="1"/>
    <xf numFmtId="0" fontId="12" fillId="0" borderId="0" xfId="0" applyFont="1"/>
    <xf numFmtId="40" fontId="9" fillId="0" borderId="0" xfId="0" applyNumberFormat="1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wrapText="1"/>
    </xf>
    <xf numFmtId="44" fontId="9" fillId="0" borderId="0" xfId="0" applyNumberFormat="1" applyFont="1"/>
    <xf numFmtId="43" fontId="8" fillId="0" borderId="0" xfId="0" applyNumberFormat="1" applyFont="1"/>
    <xf numFmtId="0" fontId="6" fillId="0" borderId="3" xfId="0" applyFont="1" applyBorder="1"/>
    <xf numFmtId="0" fontId="6" fillId="0" borderId="4" xfId="0" applyFont="1" applyBorder="1"/>
    <xf numFmtId="0" fontId="4" fillId="0" borderId="3" xfId="0" applyFont="1" applyBorder="1"/>
    <xf numFmtId="0" fontId="4" fillId="0" borderId="0" xfId="0" applyFont="1"/>
    <xf numFmtId="44" fontId="4" fillId="0" borderId="2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0" xfId="0" applyFont="1"/>
    <xf numFmtId="8" fontId="6" fillId="0" borderId="7" xfId="0" applyNumberFormat="1" applyFont="1" applyBorder="1"/>
    <xf numFmtId="8" fontId="6" fillId="0" borderId="2" xfId="0" applyNumberFormat="1" applyFont="1" applyBorder="1"/>
    <xf numFmtId="44" fontId="4" fillId="3" borderId="2" xfId="0" applyNumberFormat="1" applyFont="1" applyFill="1" applyBorder="1"/>
    <xf numFmtId="0" fontId="8" fillId="3" borderId="0" xfId="0" applyFont="1" applyFill="1" applyAlignment="1">
      <alignment wrapText="1"/>
    </xf>
    <xf numFmtId="0" fontId="9" fillId="3" borderId="0" xfId="0" applyFont="1" applyFill="1"/>
    <xf numFmtId="0" fontId="9" fillId="4" borderId="0" xfId="0" applyFont="1" applyFill="1" applyAlignment="1">
      <alignment horizontal="left"/>
    </xf>
    <xf numFmtId="44" fontId="4" fillId="4" borderId="2" xfId="0" applyNumberFormat="1" applyFont="1" applyFill="1" applyBorder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9" fillId="5" borderId="0" xfId="0" applyFont="1" applyFill="1" applyAlignment="1">
      <alignment horizontal="left"/>
    </xf>
    <xf numFmtId="37" fontId="9" fillId="5" borderId="0" xfId="0" applyNumberFormat="1" applyFont="1" applyFill="1"/>
    <xf numFmtId="0" fontId="6" fillId="5" borderId="0" xfId="0" applyFont="1" applyFill="1" applyAlignment="1">
      <alignment horizontal="right"/>
    </xf>
    <xf numFmtId="4" fontId="6" fillId="5" borderId="0" xfId="0" applyNumberFormat="1" applyFont="1" applyFill="1" applyAlignment="1">
      <alignment horizontal="right"/>
    </xf>
    <xf numFmtId="0" fontId="6" fillId="5" borderId="8" xfId="0" applyFont="1" applyFill="1" applyBorder="1" applyAlignment="1">
      <alignment horizontal="right"/>
    </xf>
    <xf numFmtId="0" fontId="9" fillId="6" borderId="0" xfId="0" applyFont="1" applyFill="1"/>
    <xf numFmtId="164" fontId="9" fillId="6" borderId="0" xfId="0" applyNumberFormat="1" applyFont="1" applyFill="1" applyAlignment="1">
      <alignment horizontal="right"/>
    </xf>
    <xf numFmtId="164" fontId="9" fillId="6" borderId="8" xfId="0" applyNumberFormat="1" applyFont="1" applyFill="1" applyBorder="1"/>
    <xf numFmtId="41" fontId="4" fillId="6" borderId="0" xfId="0" applyNumberFormat="1" applyFont="1" applyFill="1"/>
    <xf numFmtId="44" fontId="0" fillId="0" borderId="0" xfId="1" applyFont="1"/>
    <xf numFmtId="44" fontId="5" fillId="0" borderId="0" xfId="0" applyNumberFormat="1" applyFont="1"/>
    <xf numFmtId="44" fontId="5" fillId="0" borderId="0" xfId="1" applyFont="1"/>
    <xf numFmtId="2" fontId="0" fillId="0" borderId="9" xfId="0" applyNumberFormat="1" applyBorder="1"/>
    <xf numFmtId="0" fontId="0" fillId="0" borderId="9" xfId="0" applyBorder="1"/>
    <xf numFmtId="9" fontId="0" fillId="0" borderId="9" xfId="2" applyFont="1" applyBorder="1"/>
    <xf numFmtId="44" fontId="0" fillId="0" borderId="9" xfId="0" applyNumberFormat="1" applyBorder="1"/>
    <xf numFmtId="0" fontId="5" fillId="2" borderId="9" xfId="0" applyFont="1" applyFill="1" applyBorder="1"/>
    <xf numFmtId="0" fontId="4" fillId="0" borderId="10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165" fontId="0" fillId="0" borderId="13" xfId="0" applyNumberFormat="1" applyBorder="1"/>
    <xf numFmtId="0" fontId="0" fillId="0" borderId="13" xfId="0" applyBorder="1"/>
    <xf numFmtId="165" fontId="0" fillId="0" borderId="14" xfId="0" applyNumberFormat="1" applyBorder="1"/>
    <xf numFmtId="3" fontId="0" fillId="0" borderId="4" xfId="0" applyNumberFormat="1" applyBorder="1" applyAlignment="1">
      <alignment horizontal="right"/>
    </xf>
    <xf numFmtId="0" fontId="0" fillId="0" borderId="15" xfId="0" applyBorder="1" applyAlignment="1">
      <alignment horizontal="right"/>
    </xf>
    <xf numFmtId="44" fontId="0" fillId="0" borderId="15" xfId="0" applyNumberFormat="1" applyBorder="1" applyAlignment="1">
      <alignment horizontal="right"/>
    </xf>
    <xf numFmtId="167" fontId="0" fillId="0" borderId="16" xfId="0" applyNumberFormat="1" applyBorder="1" applyAlignment="1">
      <alignment horizontal="right"/>
    </xf>
    <xf numFmtId="0" fontId="5" fillId="0" borderId="0" xfId="0" applyFont="1" applyAlignment="1">
      <alignment horizontal="left" vertical="top" wrapText="1"/>
    </xf>
    <xf numFmtId="44" fontId="5" fillId="0" borderId="0" xfId="1" applyFont="1" applyBorder="1"/>
    <xf numFmtId="0" fontId="5" fillId="0" borderId="0" xfId="0" quotePrefix="1" applyFont="1"/>
    <xf numFmtId="0" fontId="14" fillId="0" borderId="3" xfId="0" applyFont="1" applyBorder="1"/>
    <xf numFmtId="41" fontId="4" fillId="0" borderId="0" xfId="0" applyNumberFormat="1" applyFont="1"/>
    <xf numFmtId="0" fontId="0" fillId="0" borderId="0" xfId="0" applyAlignment="1">
      <alignment horizontal="right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8" fontId="0" fillId="0" borderId="0" xfId="0" applyNumberFormat="1"/>
    <xf numFmtId="0" fontId="4" fillId="0" borderId="0" xfId="0" applyFont="1" applyAlignment="1">
      <alignment horizontal="center"/>
    </xf>
    <xf numFmtId="0" fontId="14" fillId="0" borderId="0" xfId="0" applyFont="1"/>
    <xf numFmtId="0" fontId="0" fillId="0" borderId="8" xfId="0" applyBorder="1"/>
    <xf numFmtId="49" fontId="14" fillId="0" borderId="0" xfId="0" applyNumberFormat="1" applyFont="1" applyAlignment="1">
      <alignment horizontal="center"/>
    </xf>
    <xf numFmtId="8" fontId="14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8" fontId="9" fillId="3" borderId="0" xfId="0" applyNumberFormat="1" applyFont="1" applyFill="1"/>
    <xf numFmtId="8" fontId="9" fillId="4" borderId="0" xfId="0" applyNumberFormat="1" applyFont="1" applyFill="1"/>
    <xf numFmtId="0" fontId="0" fillId="0" borderId="22" xfId="0" applyBorder="1"/>
    <xf numFmtId="0" fontId="5" fillId="0" borderId="0" xfId="0" applyFont="1" applyAlignment="1">
      <alignment vertical="top" wrapText="1"/>
    </xf>
    <xf numFmtId="0" fontId="15" fillId="0" borderId="0" xfId="0" applyFont="1"/>
    <xf numFmtId="0" fontId="5" fillId="0" borderId="0" xfId="0" applyFont="1" applyAlignment="1">
      <alignment horizontal="left" vertical="top"/>
    </xf>
    <xf numFmtId="44" fontId="5" fillId="0" borderId="0" xfId="0" applyNumberFormat="1" applyFont="1" applyAlignment="1">
      <alignment vertical="top" wrapText="1"/>
    </xf>
    <xf numFmtId="0" fontId="0" fillId="0" borderId="29" xfId="0" applyBorder="1"/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/>
    </xf>
    <xf numFmtId="8" fontId="0" fillId="0" borderId="9" xfId="1" applyNumberFormat="1" applyFont="1" applyFill="1" applyBorder="1" applyAlignment="1">
      <alignment horizontal="center"/>
    </xf>
    <xf numFmtId="167" fontId="0" fillId="0" borderId="9" xfId="1" applyNumberFormat="1" applyFont="1" applyFill="1" applyBorder="1" applyAlignment="1">
      <alignment horizontal="center"/>
    </xf>
    <xf numFmtId="167" fontId="0" fillId="0" borderId="0" xfId="1" applyNumberFormat="1" applyFont="1" applyFill="1" applyAlignment="1">
      <alignment horizontal="center"/>
    </xf>
    <xf numFmtId="7" fontId="0" fillId="0" borderId="9" xfId="0" applyNumberFormat="1" applyBorder="1" applyAlignment="1">
      <alignment horizontal="center"/>
    </xf>
    <xf numFmtId="7" fontId="0" fillId="0" borderId="0" xfId="0" applyNumberFormat="1" applyAlignment="1">
      <alignment horizontal="center"/>
    </xf>
    <xf numFmtId="0" fontId="18" fillId="0" borderId="21" xfId="0" applyFont="1" applyBorder="1"/>
    <xf numFmtId="0" fontId="6" fillId="0" borderId="29" xfId="0" applyFont="1" applyBorder="1"/>
    <xf numFmtId="42" fontId="18" fillId="0" borderId="0" xfId="1" applyNumberFormat="1" applyFont="1" applyBorder="1" applyAlignment="1">
      <alignment horizontal="center"/>
    </xf>
    <xf numFmtId="42" fontId="19" fillId="0" borderId="0" xfId="1" applyNumberFormat="1" applyFont="1" applyFill="1" applyBorder="1" applyAlignment="1">
      <alignment horizontal="center"/>
    </xf>
    <xf numFmtId="42" fontId="19" fillId="0" borderId="0" xfId="1" applyNumberFormat="1" applyFont="1" applyBorder="1" applyAlignment="1">
      <alignment horizontal="center"/>
    </xf>
    <xf numFmtId="0" fontId="18" fillId="0" borderId="18" xfId="0" applyFont="1" applyBorder="1" applyAlignment="1">
      <alignment horizontal="left" vertical="top"/>
    </xf>
    <xf numFmtId="0" fontId="18" fillId="0" borderId="0" xfId="0" applyFont="1"/>
    <xf numFmtId="14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14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42" fontId="18" fillId="0" borderId="0" xfId="0" applyNumberFormat="1" applyFont="1" applyAlignment="1">
      <alignment horizontal="center"/>
    </xf>
    <xf numFmtId="169" fontId="18" fillId="0" borderId="0" xfId="1" applyNumberFormat="1" applyFont="1" applyBorder="1" applyAlignment="1">
      <alignment horizontal="center"/>
    </xf>
    <xf numFmtId="169" fontId="18" fillId="0" borderId="0" xfId="1" applyNumberFormat="1" applyFont="1" applyBorder="1" applyAlignment="1">
      <alignment horizontal="left"/>
    </xf>
    <xf numFmtId="169" fontId="18" fillId="0" borderId="0" xfId="0" applyNumberFormat="1" applyFont="1" applyAlignment="1">
      <alignment horizontal="center"/>
    </xf>
    <xf numFmtId="0" fontId="6" fillId="0" borderId="29" xfId="0" applyFont="1" applyBorder="1" applyAlignment="1">
      <alignment horizontal="right"/>
    </xf>
    <xf numFmtId="0" fontId="18" fillId="0" borderId="18" xfId="0" applyFont="1" applyBorder="1"/>
    <xf numFmtId="0" fontId="0" fillId="0" borderId="23" xfId="0" applyBorder="1"/>
    <xf numFmtId="7" fontId="18" fillId="0" borderId="0" xfId="0" applyNumberFormat="1" applyFont="1"/>
    <xf numFmtId="5" fontId="18" fillId="0" borderId="0" xfId="0" applyNumberFormat="1" applyFont="1"/>
    <xf numFmtId="5" fontId="18" fillId="0" borderId="0" xfId="0" applyNumberFormat="1" applyFont="1" applyAlignment="1">
      <alignment horizontal="center"/>
    </xf>
    <xf numFmtId="0" fontId="0" fillId="0" borderId="0" xfId="0" applyAlignment="1">
      <alignment horizontal="right" vertical="top"/>
    </xf>
    <xf numFmtId="0" fontId="4" fillId="0" borderId="29" xfId="0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0" fontId="4" fillId="0" borderId="30" xfId="0" applyFont="1" applyBorder="1" applyAlignment="1">
      <alignment horizontal="left" wrapText="1"/>
    </xf>
    <xf numFmtId="0" fontId="4" fillId="0" borderId="31" xfId="0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4" fillId="0" borderId="12" xfId="0" applyFont="1" applyBorder="1" applyAlignment="1">
      <alignment horizontal="center" wrapText="1"/>
    </xf>
    <xf numFmtId="0" fontId="4" fillId="0" borderId="33" xfId="0" applyFont="1" applyBorder="1"/>
    <xf numFmtId="44" fontId="4" fillId="0" borderId="14" xfId="0" applyNumberFormat="1" applyFont="1" applyBorder="1"/>
    <xf numFmtId="44" fontId="6" fillId="0" borderId="2" xfId="0" applyNumberFormat="1" applyFont="1" applyBorder="1" applyAlignment="1">
      <alignment horizontal="right"/>
    </xf>
    <xf numFmtId="43" fontId="6" fillId="0" borderId="2" xfId="0" applyNumberFormat="1" applyFont="1" applyBorder="1" applyAlignment="1">
      <alignment horizontal="right"/>
    </xf>
    <xf numFmtId="43" fontId="6" fillId="0" borderId="12" xfId="0" applyNumberFormat="1" applyFont="1" applyBorder="1" applyAlignment="1">
      <alignment horizontal="right"/>
    </xf>
    <xf numFmtId="0" fontId="4" fillId="0" borderId="17" xfId="0" applyFont="1" applyBorder="1" applyAlignment="1">
      <alignment horizontal="center" wrapText="1"/>
    </xf>
    <xf numFmtId="0" fontId="21" fillId="0" borderId="19" xfId="0" applyFont="1" applyBorder="1" applyAlignment="1">
      <alignment horizontal="center" wrapText="1"/>
    </xf>
    <xf numFmtId="7" fontId="6" fillId="6" borderId="20" xfId="0" applyNumberFormat="1" applyFont="1" applyFill="1" applyBorder="1" applyAlignment="1">
      <alignment horizontal="right"/>
    </xf>
    <xf numFmtId="7" fontId="6" fillId="6" borderId="19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right" wrapText="1"/>
    </xf>
    <xf numFmtId="0" fontId="4" fillId="0" borderId="19" xfId="0" applyFont="1" applyBorder="1" applyAlignment="1">
      <alignment horizontal="right" wrapText="1"/>
    </xf>
    <xf numFmtId="164" fontId="6" fillId="6" borderId="20" xfId="0" applyNumberFormat="1" applyFont="1" applyFill="1" applyBorder="1"/>
    <xf numFmtId="164" fontId="6" fillId="6" borderId="19" xfId="0" applyNumberFormat="1" applyFont="1" applyFill="1" applyBorder="1"/>
    <xf numFmtId="9" fontId="5" fillId="2" borderId="9" xfId="2" applyFont="1" applyFill="1" applyBorder="1"/>
    <xf numFmtId="44" fontId="0" fillId="0" borderId="9" xfId="1" applyFont="1" applyBorder="1"/>
    <xf numFmtId="0" fontId="14" fillId="0" borderId="0" xfId="0" applyFont="1" applyAlignment="1">
      <alignment horizontal="center" vertical="center"/>
    </xf>
    <xf numFmtId="0" fontId="14" fillId="0" borderId="34" xfId="0" applyFont="1" applyBorder="1" applyAlignment="1">
      <alignment horizontal="left" vertical="center"/>
    </xf>
    <xf numFmtId="0" fontId="14" fillId="0" borderId="3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17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166" fontId="0" fillId="0" borderId="20" xfId="0" applyNumberFormat="1" applyBorder="1" applyAlignment="1">
      <alignment horizontal="center" wrapText="1"/>
    </xf>
    <xf numFmtId="166" fontId="0" fillId="0" borderId="19" xfId="0" applyNumberForma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20" fillId="0" borderId="29" xfId="0" applyFont="1" applyBorder="1" applyAlignment="1">
      <alignment horizontal="right"/>
    </xf>
    <xf numFmtId="14" fontId="20" fillId="0" borderId="0" xfId="0" applyNumberFormat="1" applyFont="1" applyAlignment="1">
      <alignment vertical="top"/>
    </xf>
    <xf numFmtId="0" fontId="18" fillId="0" borderId="8" xfId="0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44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" fontId="0" fillId="0" borderId="0" xfId="1" applyNumberFormat="1" applyFont="1" applyFill="1" applyBorder="1" applyAlignment="1">
      <alignment horizontal="center" wrapText="1"/>
    </xf>
    <xf numFmtId="1" fontId="0" fillId="0" borderId="0" xfId="1" applyNumberFormat="1" applyFont="1" applyFill="1" applyAlignment="1">
      <alignment horizontal="center"/>
    </xf>
    <xf numFmtId="1" fontId="0" fillId="0" borderId="0" xfId="1" applyNumberFormat="1" applyFont="1" applyAlignment="1">
      <alignment horizontal="center"/>
    </xf>
    <xf numFmtId="44" fontId="0" fillId="0" borderId="0" xfId="0" quotePrefix="1" applyNumberFormat="1"/>
    <xf numFmtId="0" fontId="1" fillId="0" borderId="0" xfId="0" quotePrefix="1" applyFont="1" applyAlignment="1">
      <alignment horizontal="left"/>
    </xf>
    <xf numFmtId="166" fontId="1" fillId="0" borderId="0" xfId="0" quotePrefix="1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" fillId="5" borderId="0" xfId="0" applyFont="1" applyFill="1"/>
    <xf numFmtId="0" fontId="1" fillId="5" borderId="0" xfId="0" applyFont="1" applyFill="1" applyAlignment="1">
      <alignment horizontal="right"/>
    </xf>
    <xf numFmtId="0" fontId="4" fillId="0" borderId="3" xfId="0" quotePrefix="1" applyFont="1" applyBorder="1" applyAlignment="1">
      <alignment horizontal="left"/>
    </xf>
    <xf numFmtId="167" fontId="0" fillId="0" borderId="0" xfId="0" applyNumberFormat="1" applyAlignment="1">
      <alignment horizontal="right"/>
    </xf>
    <xf numFmtId="165" fontId="0" fillId="0" borderId="0" xfId="0" applyNumberFormat="1"/>
    <xf numFmtId="0" fontId="4" fillId="0" borderId="0" xfId="0" quotePrefix="1" applyFont="1" applyAlignment="1">
      <alignment horizontal="right"/>
    </xf>
    <xf numFmtId="9" fontId="0" fillId="0" borderId="0" xfId="2" applyFont="1"/>
    <xf numFmtId="0" fontId="1" fillId="4" borderId="0" xfId="0" applyFont="1" applyFill="1" applyAlignment="1">
      <alignment horizontal="left"/>
    </xf>
    <xf numFmtId="44" fontId="4" fillId="11" borderId="2" xfId="0" applyNumberFormat="1" applyFont="1" applyFill="1" applyBorder="1"/>
    <xf numFmtId="44" fontId="1" fillId="0" borderId="0" xfId="1" applyFont="1"/>
    <xf numFmtId="0" fontId="4" fillId="2" borderId="1" xfId="0" quotePrefix="1" applyFont="1" applyFill="1" applyBorder="1" applyAlignment="1" applyProtection="1">
      <alignment horizontal="right" vertical="center"/>
      <protection locked="0"/>
    </xf>
    <xf numFmtId="0" fontId="6" fillId="0" borderId="0" xfId="0" quotePrefix="1" applyFont="1" applyAlignment="1">
      <alignment horizontal="left"/>
    </xf>
    <xf numFmtId="44" fontId="4" fillId="0" borderId="0" xfId="0" applyNumberFormat="1" applyFont="1"/>
    <xf numFmtId="0" fontId="18" fillId="12" borderId="0" xfId="0" applyFont="1" applyFill="1"/>
    <xf numFmtId="0" fontId="0" fillId="12" borderId="0" xfId="0" applyFill="1"/>
    <xf numFmtId="0" fontId="18" fillId="12" borderId="0" xfId="0" quotePrefix="1" applyFont="1" applyFill="1" applyAlignment="1">
      <alignment horizontal="left"/>
    </xf>
    <xf numFmtId="0" fontId="18" fillId="0" borderId="0" xfId="0" quotePrefix="1" applyFont="1" applyAlignment="1">
      <alignment horizontal="left"/>
    </xf>
    <xf numFmtId="0" fontId="4" fillId="0" borderId="32" xfId="0" quotePrefix="1" applyFont="1" applyBorder="1" applyAlignment="1">
      <alignment horizontal="left"/>
    </xf>
    <xf numFmtId="0" fontId="2" fillId="0" borderId="19" xfId="0" applyFont="1" applyBorder="1" applyAlignment="1">
      <alignment horizontal="center" wrapText="1"/>
    </xf>
    <xf numFmtId="0" fontId="1" fillId="0" borderId="3" xfId="0" applyFont="1" applyBorder="1"/>
    <xf numFmtId="8" fontId="9" fillId="0" borderId="0" xfId="0" applyNumberFormat="1" applyFont="1"/>
    <xf numFmtId="3" fontId="4" fillId="0" borderId="0" xfId="0" applyNumberFormat="1" applyFont="1" applyAlignment="1" applyProtection="1">
      <alignment horizontal="right" vertical="center"/>
      <protection locked="0"/>
    </xf>
    <xf numFmtId="0" fontId="2" fillId="0" borderId="19" xfId="0" quotePrefix="1" applyFont="1" applyBorder="1" applyAlignment="1">
      <alignment horizontal="center" wrapText="1"/>
    </xf>
    <xf numFmtId="0" fontId="1" fillId="0" borderId="3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24" fillId="13" borderId="0" xfId="0" quotePrefix="1" applyFont="1" applyFill="1" applyAlignment="1">
      <alignment horizontal="left"/>
    </xf>
    <xf numFmtId="0" fontId="0" fillId="13" borderId="0" xfId="0" applyFill="1"/>
    <xf numFmtId="0" fontId="23" fillId="13" borderId="0" xfId="0" applyFont="1" applyFill="1"/>
    <xf numFmtId="0" fontId="4" fillId="13" borderId="0" xfId="0" applyFont="1" applyFill="1"/>
    <xf numFmtId="44" fontId="4" fillId="13" borderId="0" xfId="0" applyNumberFormat="1" applyFont="1" applyFill="1"/>
    <xf numFmtId="0" fontId="8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0" fillId="0" borderId="17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14" fillId="0" borderId="0" xfId="0" applyFont="1" applyAlignment="1">
      <alignment horizontal="left"/>
    </xf>
    <xf numFmtId="0" fontId="14" fillId="0" borderId="34" xfId="0" applyFont="1" applyBorder="1" applyAlignment="1">
      <alignment horizontal="left"/>
    </xf>
    <xf numFmtId="0" fontId="18" fillId="0" borderId="2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0" fillId="0" borderId="0" xfId="0" applyBorder="1"/>
    <xf numFmtId="0" fontId="17" fillId="0" borderId="0" xfId="0" applyFont="1" applyBorder="1"/>
    <xf numFmtId="0" fontId="0" fillId="0" borderId="0" xfId="0" applyBorder="1" applyAlignment="1">
      <alignment horizontal="center" wrapText="1"/>
    </xf>
    <xf numFmtId="8" fontId="0" fillId="0" borderId="0" xfId="0" applyNumberFormat="1" applyBorder="1"/>
    <xf numFmtId="0" fontId="1" fillId="0" borderId="0" xfId="0" quotePrefix="1" applyFont="1" applyBorder="1" applyAlignment="1">
      <alignment horizontal="left"/>
    </xf>
    <xf numFmtId="166" fontId="1" fillId="0" borderId="0" xfId="0" quotePrefix="1" applyNumberFormat="1" applyFont="1" applyBorder="1" applyAlignment="1">
      <alignment horizontal="left"/>
    </xf>
    <xf numFmtId="166" fontId="0" fillId="0" borderId="0" xfId="0" applyNumberFormat="1" applyBorder="1"/>
    <xf numFmtId="0" fontId="16" fillId="0" borderId="0" xfId="0" applyFont="1" applyAlignment="1" applyProtection="1">
      <alignment horizontal="center" wrapText="1"/>
    </xf>
    <xf numFmtId="0" fontId="0" fillId="0" borderId="0" xfId="0" applyProtection="1"/>
    <xf numFmtId="0" fontId="5" fillId="0" borderId="0" xfId="0" applyFont="1" applyProtection="1"/>
    <xf numFmtId="0" fontId="4" fillId="0" borderId="28" xfId="0" quotePrefix="1" applyFont="1" applyBorder="1" applyAlignment="1" applyProtection="1">
      <alignment horizontal="center" wrapText="1"/>
    </xf>
    <xf numFmtId="0" fontId="4" fillId="0" borderId="25" xfId="0" applyFont="1" applyBorder="1" applyAlignment="1" applyProtection="1">
      <alignment horizontal="center" wrapText="1"/>
    </xf>
    <xf numFmtId="0" fontId="4" fillId="0" borderId="26" xfId="0" applyFont="1" applyBorder="1" applyAlignment="1" applyProtection="1">
      <alignment horizontal="center" wrapText="1"/>
    </xf>
    <xf numFmtId="0" fontId="0" fillId="0" borderId="17" xfId="0" applyBorder="1" applyProtection="1"/>
    <xf numFmtId="0" fontId="17" fillId="0" borderId="0" xfId="0" applyFont="1" applyProtection="1"/>
    <xf numFmtId="0" fontId="0" fillId="0" borderId="0" xfId="0" applyBorder="1" applyProtection="1"/>
    <xf numFmtId="0" fontId="0" fillId="0" borderId="18" xfId="0" applyBorder="1" applyProtection="1"/>
    <xf numFmtId="0" fontId="4" fillId="0" borderId="0" xfId="0" applyFont="1" applyBorder="1" applyAlignment="1" applyProtection="1">
      <alignment horizontal="center" wrapText="1"/>
    </xf>
    <xf numFmtId="0" fontId="0" fillId="0" borderId="19" xfId="0" applyBorder="1" applyAlignment="1" applyProtection="1">
      <alignment horizontal="center" wrapText="1"/>
    </xf>
    <xf numFmtId="0" fontId="0" fillId="0" borderId="19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7" borderId="17" xfId="0" applyFill="1" applyBorder="1" applyProtection="1"/>
    <xf numFmtId="0" fontId="0" fillId="0" borderId="20" xfId="0" applyBorder="1" applyProtection="1"/>
    <xf numFmtId="0" fontId="0" fillId="7" borderId="0" xfId="0" applyFill="1" applyBorder="1" applyProtection="1"/>
    <xf numFmtId="0" fontId="0" fillId="0" borderId="20" xfId="0" applyBorder="1" applyAlignment="1" applyProtection="1">
      <alignment horizontal="center"/>
    </xf>
    <xf numFmtId="8" fontId="0" fillId="0" borderId="20" xfId="0" applyNumberFormat="1" applyBorder="1" applyProtection="1"/>
    <xf numFmtId="8" fontId="0" fillId="9" borderId="20" xfId="0" applyNumberFormat="1" applyFill="1" applyBorder="1" applyProtection="1"/>
    <xf numFmtId="8" fontId="0" fillId="10" borderId="20" xfId="0" applyNumberFormat="1" applyFill="1" applyBorder="1" applyProtection="1"/>
    <xf numFmtId="8" fontId="0" fillId="0" borderId="0" xfId="0" applyNumberFormat="1" applyProtection="1"/>
    <xf numFmtId="8" fontId="0" fillId="0" borderId="0" xfId="0" applyNumberFormat="1" applyBorder="1" applyProtection="1"/>
    <xf numFmtId="168" fontId="0" fillId="0" borderId="0" xfId="0" applyNumberFormat="1" applyBorder="1" applyProtection="1"/>
    <xf numFmtId="8" fontId="0" fillId="8" borderId="20" xfId="0" applyNumberFormat="1" applyFill="1" applyBorder="1" applyProtection="1"/>
    <xf numFmtId="8" fontId="0" fillId="8" borderId="0" xfId="0" applyNumberFormat="1" applyFill="1" applyProtection="1"/>
    <xf numFmtId="8" fontId="0" fillId="8" borderId="19" xfId="0" applyNumberFormat="1" applyFill="1" applyBorder="1" applyProtection="1"/>
    <xf numFmtId="8" fontId="0" fillId="9" borderId="19" xfId="0" applyNumberFormat="1" applyFill="1" applyBorder="1" applyProtection="1"/>
    <xf numFmtId="8" fontId="0" fillId="10" borderId="19" xfId="0" applyNumberFormat="1" applyFill="1" applyBorder="1" applyProtection="1"/>
    <xf numFmtId="0" fontId="5" fillId="0" borderId="18" xfId="0" applyFont="1" applyBorder="1" applyAlignment="1" applyProtection="1">
      <alignment horizontal="left"/>
    </xf>
    <xf numFmtId="8" fontId="0" fillId="0" borderId="23" xfId="0" applyNumberFormat="1" applyBorder="1" applyProtection="1"/>
    <xf numFmtId="8" fontId="0" fillId="0" borderId="18" xfId="0" applyNumberFormat="1" applyBorder="1" applyProtection="1"/>
    <xf numFmtId="8" fontId="0" fillId="8" borderId="21" xfId="0" applyNumberFormat="1" applyFill="1" applyBorder="1" applyProtection="1"/>
    <xf numFmtId="8" fontId="0" fillId="9" borderId="17" xfId="0" applyNumberFormat="1" applyFill="1" applyBorder="1" applyProtection="1"/>
    <xf numFmtId="8" fontId="0" fillId="0" borderId="17" xfId="0" applyNumberFormat="1" applyBorder="1" applyProtection="1"/>
    <xf numFmtId="8" fontId="0" fillId="10" borderId="17" xfId="0" applyNumberFormat="1" applyFill="1" applyBorder="1" applyProtection="1"/>
    <xf numFmtId="8" fontId="0" fillId="8" borderId="17" xfId="0" applyNumberFormat="1" applyFill="1" applyBorder="1" applyProtection="1"/>
    <xf numFmtId="8" fontId="0" fillId="9" borderId="23" xfId="0" applyNumberFormat="1" applyFill="1" applyBorder="1" applyProtection="1"/>
    <xf numFmtId="8" fontId="0" fillId="9" borderId="0" xfId="0" applyNumberFormat="1" applyFill="1" applyProtection="1"/>
    <xf numFmtId="168" fontId="0" fillId="0" borderId="0" xfId="0" applyNumberFormat="1" applyProtection="1"/>
    <xf numFmtId="0" fontId="22" fillId="0" borderId="28" xfId="0" applyFont="1" applyBorder="1" applyAlignment="1" applyProtection="1">
      <alignment horizontal="center"/>
    </xf>
    <xf numFmtId="0" fontId="22" fillId="0" borderId="25" xfId="0" applyFont="1" applyBorder="1" applyAlignment="1" applyProtection="1">
      <alignment horizontal="center"/>
    </xf>
    <xf numFmtId="0" fontId="22" fillId="0" borderId="26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0" fillId="0" borderId="22" xfId="0" applyBorder="1" applyProtection="1"/>
    <xf numFmtId="0" fontId="5" fillId="0" borderId="9" xfId="0" applyFont="1" applyBorder="1" applyAlignment="1" applyProtection="1">
      <alignment horizontal="center"/>
    </xf>
    <xf numFmtId="0" fontId="0" fillId="0" borderId="25" xfId="0" applyBorder="1" applyProtection="1"/>
    <xf numFmtId="0" fontId="5" fillId="0" borderId="9" xfId="0" applyFont="1" applyBorder="1" applyAlignment="1" applyProtection="1">
      <alignment horizontal="right"/>
    </xf>
    <xf numFmtId="0" fontId="5" fillId="0" borderId="25" xfId="0" applyFont="1" applyBorder="1" applyProtection="1"/>
    <xf numFmtId="0" fontId="0" fillId="0" borderId="9" xfId="0" applyBorder="1" applyProtection="1"/>
    <xf numFmtId="0" fontId="5" fillId="0" borderId="26" xfId="0" applyFont="1" applyBorder="1" applyAlignment="1" applyProtection="1">
      <alignment horizontal="right"/>
    </xf>
    <xf numFmtId="0" fontId="4" fillId="0" borderId="27" xfId="0" quotePrefix="1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24" xfId="0" applyFont="1" applyBorder="1" applyAlignment="1" applyProtection="1">
      <alignment horizontal="center"/>
    </xf>
    <xf numFmtId="0" fontId="0" fillId="0" borderId="24" xfId="0" applyBorder="1" applyProtection="1"/>
    <xf numFmtId="49" fontId="14" fillId="0" borderId="20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" fillId="0" borderId="20" xfId="0" quotePrefix="1" applyFont="1" applyBorder="1" applyAlignment="1" applyProtection="1">
      <alignment horizontal="right"/>
    </xf>
    <xf numFmtId="0" fontId="14" fillId="0" borderId="0" xfId="0" applyFont="1" applyProtection="1"/>
    <xf numFmtId="49" fontId="1" fillId="0" borderId="20" xfId="0" quotePrefix="1" applyNumberFormat="1" applyFont="1" applyBorder="1" applyAlignment="1" applyProtection="1">
      <alignment horizontal="right"/>
    </xf>
    <xf numFmtId="49" fontId="14" fillId="0" borderId="23" xfId="0" applyNumberFormat="1" applyFont="1" applyBorder="1" applyAlignment="1" applyProtection="1">
      <alignment horizontal="right"/>
    </xf>
    <xf numFmtId="7" fontId="0" fillId="0" borderId="23" xfId="1" applyNumberFormat="1" applyFont="1" applyBorder="1" applyAlignment="1" applyProtection="1">
      <alignment horizontal="center"/>
    </xf>
    <xf numFmtId="8" fontId="1" fillId="0" borderId="20" xfId="0" quotePrefix="1" applyNumberFormat="1" applyFont="1" applyBorder="1" applyAlignment="1" applyProtection="1">
      <alignment horizontal="right"/>
    </xf>
    <xf numFmtId="0" fontId="0" fillId="0" borderId="19" xfId="0" applyBorder="1" applyProtection="1"/>
    <xf numFmtId="0" fontId="0" fillId="0" borderId="9" xfId="0" applyBorder="1" applyAlignment="1" applyProtection="1">
      <alignment horizontal="left"/>
    </xf>
    <xf numFmtId="7" fontId="0" fillId="0" borderId="26" xfId="1" applyNumberFormat="1" applyFont="1" applyBorder="1" applyAlignment="1" applyProtection="1">
      <alignment horizontal="center"/>
    </xf>
    <xf numFmtId="0" fontId="0" fillId="0" borderId="29" xfId="0" applyBorder="1" applyProtection="1"/>
    <xf numFmtId="7" fontId="0" fillId="0" borderId="22" xfId="1" applyNumberFormat="1" applyFont="1" applyBorder="1" applyAlignment="1" applyProtection="1">
      <alignment horizontal="center"/>
    </xf>
    <xf numFmtId="7" fontId="0" fillId="0" borderId="23" xfId="1" applyNumberFormat="1" applyFont="1" applyFill="1" applyBorder="1" applyAlignment="1" applyProtection="1">
      <alignment horizontal="center"/>
    </xf>
    <xf numFmtId="7" fontId="14" fillId="0" borderId="23" xfId="1" applyNumberFormat="1" applyFont="1" applyBorder="1" applyAlignment="1" applyProtection="1">
      <alignment horizontal="center"/>
    </xf>
    <xf numFmtId="49" fontId="14" fillId="0" borderId="19" xfId="0" applyNumberFormat="1" applyFont="1" applyBorder="1" applyAlignment="1" applyProtection="1">
      <alignment horizontal="center"/>
    </xf>
    <xf numFmtId="0" fontId="0" fillId="0" borderId="8" xfId="0" applyBorder="1" applyProtection="1"/>
    <xf numFmtId="8" fontId="1" fillId="0" borderId="19" xfId="0" quotePrefix="1" applyNumberFormat="1" applyFont="1" applyBorder="1" applyAlignment="1" applyProtection="1">
      <alignment horizontal="right"/>
    </xf>
    <xf numFmtId="0" fontId="14" fillId="0" borderId="8" xfId="0" applyFont="1" applyBorder="1" applyProtection="1"/>
    <xf numFmtId="49" fontId="1" fillId="0" borderId="19" xfId="0" quotePrefix="1" applyNumberFormat="1" applyFont="1" applyBorder="1" applyAlignment="1" applyProtection="1">
      <alignment horizontal="right"/>
    </xf>
    <xf numFmtId="49" fontId="14" fillId="0" borderId="24" xfId="0" applyNumberFormat="1" applyFont="1" applyBorder="1" applyAlignment="1" applyProtection="1">
      <alignment horizontal="right"/>
    </xf>
    <xf numFmtId="0" fontId="0" fillId="0" borderId="27" xfId="0" applyBorder="1" applyProtection="1"/>
    <xf numFmtId="0" fontId="5" fillId="0" borderId="28" xfId="0" applyFont="1" applyBorder="1" applyProtection="1"/>
    <xf numFmtId="0" fontId="0" fillId="0" borderId="26" xfId="0" applyBorder="1" applyProtection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31"/>
  <sheetViews>
    <sheetView showGridLines="0" tabSelected="1" zoomScale="90" zoomScaleNormal="9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J6" sqref="J6"/>
    </sheetView>
  </sheetViews>
  <sheetFormatPr defaultRowHeight="12.75" x14ac:dyDescent="0.2"/>
  <cols>
    <col min="1" max="1" width="0.5703125" customWidth="1"/>
    <col min="2" max="2" width="13.28515625" customWidth="1"/>
    <col min="3" max="3" width="14.7109375" customWidth="1"/>
    <col min="4" max="4" width="10.140625" customWidth="1"/>
    <col min="5" max="5" width="12.5703125" customWidth="1"/>
    <col min="6" max="6" width="12.85546875" customWidth="1"/>
    <col min="7" max="7" width="11.85546875" customWidth="1"/>
    <col min="8" max="8" width="17" customWidth="1"/>
    <col min="9" max="9" width="11.5703125" customWidth="1"/>
    <col min="10" max="10" width="14.7109375" customWidth="1"/>
    <col min="11" max="11" width="11.7109375" customWidth="1"/>
    <col min="12" max="12" width="27.5703125" customWidth="1"/>
    <col min="13" max="13" width="20.28515625" customWidth="1"/>
    <col min="14" max="14" width="24.28515625" customWidth="1"/>
    <col min="15" max="15" width="24.85546875" customWidth="1"/>
    <col min="16" max="16" width="2.140625" customWidth="1"/>
    <col min="17" max="17" width="5.85546875" hidden="1" customWidth="1"/>
    <col min="18" max="18" width="12.42578125" hidden="1" customWidth="1"/>
    <col min="19" max="19" width="17.7109375" hidden="1" customWidth="1"/>
    <col min="20" max="20" width="6.140625" hidden="1" customWidth="1"/>
    <col min="21" max="21" width="11.140625" hidden="1" customWidth="1"/>
    <col min="22" max="22" width="15.5703125" hidden="1" customWidth="1"/>
    <col min="23" max="26" width="9.140625" hidden="1" customWidth="1"/>
    <col min="27" max="27" width="9.140625" customWidth="1"/>
    <col min="28" max="28" width="5.7109375" customWidth="1"/>
  </cols>
  <sheetData>
    <row r="1" spans="1:24" ht="15.75" x14ac:dyDescent="0.25">
      <c r="B1" s="18" t="s">
        <v>30</v>
      </c>
    </row>
    <row r="2" spans="1:24" ht="5.25" customHeight="1" thickBot="1" x14ac:dyDescent="0.25"/>
    <row r="3" spans="1:24" ht="19.5" customHeight="1" thickBot="1" x14ac:dyDescent="0.4">
      <c r="A3" s="1"/>
      <c r="B3" s="219" t="s">
        <v>1</v>
      </c>
      <c r="C3" s="219"/>
      <c r="D3" s="219"/>
      <c r="E3" s="219"/>
      <c r="F3" s="219"/>
      <c r="G3" s="219"/>
      <c r="H3" s="219"/>
      <c r="I3" s="219"/>
      <c r="J3" s="219"/>
      <c r="K3" s="1"/>
      <c r="L3" s="1"/>
      <c r="M3" s="1"/>
      <c r="N3" s="1"/>
      <c r="O3" s="1"/>
      <c r="P3" s="1"/>
      <c r="Q3" s="1"/>
      <c r="R3" s="65" t="s">
        <v>43</v>
      </c>
      <c r="S3" s="66"/>
      <c r="T3" s="1"/>
      <c r="U3" s="1"/>
      <c r="V3" s="1"/>
    </row>
    <row r="4" spans="1:24" ht="17.25" customHeight="1" x14ac:dyDescent="0.35">
      <c r="A4" s="1"/>
      <c r="B4" s="220" t="s">
        <v>142</v>
      </c>
      <c r="C4" s="219"/>
      <c r="D4" s="219"/>
      <c r="E4" s="219"/>
      <c r="F4" s="219"/>
      <c r="G4" s="219"/>
      <c r="H4" s="219"/>
      <c r="I4" s="219"/>
      <c r="J4" s="219"/>
      <c r="K4" s="1"/>
      <c r="L4" s="1"/>
      <c r="M4" s="1"/>
      <c r="N4" s="1"/>
      <c r="O4" s="1"/>
      <c r="P4" s="1"/>
      <c r="Q4" s="1"/>
      <c r="R4" s="71">
        <f>G17</f>
        <v>12</v>
      </c>
      <c r="S4" s="67" t="s">
        <v>36</v>
      </c>
      <c r="T4" s="1"/>
      <c r="U4" s="1"/>
      <c r="V4" s="1"/>
    </row>
    <row r="5" spans="1:24" ht="18" customHeight="1" thickBot="1" x14ac:dyDescent="0.4">
      <c r="A5" s="2"/>
      <c r="B5" s="220" t="s">
        <v>169</v>
      </c>
      <c r="C5" s="219"/>
      <c r="D5" s="219"/>
      <c r="E5" s="219"/>
      <c r="F5" s="219"/>
      <c r="G5" s="219"/>
      <c r="H5" s="219"/>
      <c r="I5" s="219"/>
      <c r="J5" s="219"/>
      <c r="K5" s="2"/>
      <c r="L5" s="2"/>
      <c r="M5" s="2"/>
      <c r="N5" s="2"/>
      <c r="O5" s="2"/>
      <c r="P5" s="2"/>
      <c r="Q5" s="2"/>
      <c r="R5" s="72">
        <f>R4*748</f>
        <v>8976</v>
      </c>
      <c r="S5" s="68" t="s">
        <v>35</v>
      </c>
      <c r="T5" s="2"/>
      <c r="U5" s="2"/>
      <c r="V5" s="2"/>
    </row>
    <row r="6" spans="1:24" ht="20.25" customHeight="1" thickBot="1" x14ac:dyDescent="0.4">
      <c r="A6" s="2"/>
      <c r="B6" s="2"/>
      <c r="C6" s="2"/>
      <c r="D6" s="2"/>
      <c r="E6" s="2"/>
      <c r="F6" s="2"/>
      <c r="I6" s="3" t="s">
        <v>0</v>
      </c>
      <c r="J6" s="4" t="s">
        <v>31</v>
      </c>
      <c r="K6" s="2"/>
      <c r="L6" s="2"/>
      <c r="M6" s="2"/>
      <c r="N6" s="2"/>
      <c r="O6" s="2"/>
      <c r="P6" s="2"/>
      <c r="Q6" s="2"/>
      <c r="R6" s="73">
        <f>H30/R4</f>
        <v>11.940833333333336</v>
      </c>
      <c r="S6" s="69" t="s">
        <v>37</v>
      </c>
      <c r="T6" s="2"/>
      <c r="U6" s="2"/>
      <c r="V6" s="2"/>
    </row>
    <row r="7" spans="1:24" ht="17.25" customHeight="1" thickBot="1" x14ac:dyDescent="0.3">
      <c r="D7" s="5"/>
      <c r="I7" s="3" t="s">
        <v>25</v>
      </c>
      <c r="J7" s="6" t="s">
        <v>155</v>
      </c>
      <c r="R7" s="74">
        <f>H30/R5</f>
        <v>1.5963680926916222E-2</v>
      </c>
      <c r="S7" s="70" t="s">
        <v>34</v>
      </c>
    </row>
    <row r="8" spans="1:24" ht="16.5" customHeight="1" thickBot="1" x14ac:dyDescent="0.3">
      <c r="D8" s="5"/>
      <c r="I8" s="178" t="s">
        <v>152</v>
      </c>
      <c r="J8" s="183" t="s">
        <v>154</v>
      </c>
      <c r="K8" t="s">
        <v>168</v>
      </c>
      <c r="R8" s="176"/>
      <c r="S8" s="177"/>
    </row>
    <row r="9" spans="1:24" ht="18" customHeight="1" thickBot="1" x14ac:dyDescent="0.3">
      <c r="C9" s="7"/>
      <c r="D9" s="8"/>
      <c r="I9" s="9" t="s">
        <v>26</v>
      </c>
      <c r="J9" s="10">
        <v>12</v>
      </c>
    </row>
    <row r="10" spans="1:24" ht="4.5" customHeight="1" thickBot="1" x14ac:dyDescent="0.3">
      <c r="C10" s="7"/>
      <c r="D10" s="8"/>
      <c r="I10" s="3"/>
      <c r="J10" s="194"/>
    </row>
    <row r="11" spans="1:24" s="7" customFormat="1" ht="19.5" customHeight="1" x14ac:dyDescent="0.25">
      <c r="A11"/>
      <c r="B11" s="186" t="s">
        <v>156</v>
      </c>
      <c r="C11" s="187"/>
      <c r="D11" s="208" t="s">
        <v>33</v>
      </c>
      <c r="E11" s="209"/>
      <c r="F11" s="209"/>
      <c r="G11" s="209"/>
      <c r="H11" s="210"/>
      <c r="R11" s="60">
        <f>R12/748</f>
        <v>1</v>
      </c>
      <c r="S11" s="61" t="s">
        <v>40</v>
      </c>
      <c r="T11"/>
      <c r="U11" s="60">
        <f>U12/748</f>
        <v>11</v>
      </c>
      <c r="V11" s="61" t="s">
        <v>41</v>
      </c>
    </row>
    <row r="12" spans="1:24" s="11" customFormat="1" ht="15.75" x14ac:dyDescent="0.25">
      <c r="A12"/>
      <c r="B12"/>
      <c r="C12"/>
      <c r="D12" s="131"/>
      <c r="E12" s="140" t="s">
        <v>116</v>
      </c>
      <c r="F12" s="129" t="s">
        <v>3</v>
      </c>
      <c r="G12" s="144" t="s">
        <v>3</v>
      </c>
      <c r="H12" s="132"/>
      <c r="R12" s="64">
        <v>748</v>
      </c>
      <c r="S12" s="61" t="s">
        <v>38</v>
      </c>
      <c r="T12"/>
      <c r="U12" s="61">
        <f>R5-R12</f>
        <v>8228</v>
      </c>
      <c r="V12" s="61" t="s">
        <v>39</v>
      </c>
      <c r="X12"/>
    </row>
    <row r="13" spans="1:24" s="11" customFormat="1" ht="15.75" x14ac:dyDescent="0.25">
      <c r="A13"/>
      <c r="B13"/>
      <c r="C13"/>
      <c r="D13" s="133" t="s">
        <v>3</v>
      </c>
      <c r="E13" s="141" t="str">
        <f>Rates!P15</f>
        <v>Effective 1/1/26</v>
      </c>
      <c r="F13" s="130" t="s">
        <v>114</v>
      </c>
      <c r="G13" s="145" t="s">
        <v>115</v>
      </c>
      <c r="H13" s="134" t="s">
        <v>4</v>
      </c>
      <c r="R13" s="148">
        <f>R12/R5</f>
        <v>8.3333333333333329E-2</v>
      </c>
      <c r="S13" s="61" t="s">
        <v>42</v>
      </c>
      <c r="T13"/>
      <c r="U13" s="62">
        <f>U12/R5</f>
        <v>0.91666666666666663</v>
      </c>
      <c r="V13" s="61" t="s">
        <v>42</v>
      </c>
      <c r="X13"/>
    </row>
    <row r="14" spans="1:24" ht="15" x14ac:dyDescent="0.2">
      <c r="D14" s="31" t="s">
        <v>5</v>
      </c>
      <c r="E14" s="142">
        <f>Rates!L25</f>
        <v>6.01</v>
      </c>
      <c r="F14" s="50" t="str">
        <f>IF(J6="Monthly","0 - "&amp;VLOOKUP($J$7,$D$206:$E$215,2,FALSE),"0 - "&amp;VLOOKUP($J$7,$H$206:$I$215,2,FALSE))</f>
        <v>0 - 6</v>
      </c>
      <c r="G14" s="146">
        <f>IF($J$6="Monthly",D$227,F$227)</f>
        <v>6</v>
      </c>
      <c r="H14" s="137">
        <f>G14*E14</f>
        <v>36.06</v>
      </c>
      <c r="I14" s="57"/>
      <c r="J14" s="57"/>
      <c r="R14" s="149">
        <f>H30*R13</f>
        <v>11.940833333333334</v>
      </c>
      <c r="S14" s="61"/>
      <c r="U14" s="63">
        <f>H30*U13</f>
        <v>131.34916666666669</v>
      </c>
      <c r="V14" s="61"/>
    </row>
    <row r="15" spans="1:24" ht="15" x14ac:dyDescent="0.2">
      <c r="D15" s="31" t="s">
        <v>6</v>
      </c>
      <c r="E15" s="142">
        <f>Rates!L26</f>
        <v>7.79</v>
      </c>
      <c r="F15" s="51" t="str">
        <f>IF(J6="Monthly",VLOOKUP($J$7,$D$206:$E$215,2,FALSE)+1&amp;" - "&amp;VLOOKUP($J$7,$D$206:$F$215,3,FALSE),VLOOKUP($J$7,$H$206:$I$215,2,FALSE)+1&amp;" - "&amp;VLOOKUP($J$7,$H$206:$J$215,3,FALSE))</f>
        <v>7 - 60</v>
      </c>
      <c r="G15" s="146">
        <f>IF($J$6="Monthly",D$228,F$228)</f>
        <v>6</v>
      </c>
      <c r="H15" s="138">
        <f>G15*E15</f>
        <v>46.74</v>
      </c>
      <c r="I15" s="57"/>
      <c r="J15" s="182"/>
      <c r="R15" s="12"/>
    </row>
    <row r="16" spans="1:24" ht="15" x14ac:dyDescent="0.2">
      <c r="D16" s="32" t="s">
        <v>7</v>
      </c>
      <c r="E16" s="143">
        <f>Rates!L27</f>
        <v>7.82</v>
      </c>
      <c r="F16" s="52" t="str">
        <f>IF(J6="Monthly",VLOOKUP($J$7,$D$206:$F$215,3,FALSE)+1&amp;" +",VLOOKUP($J$7,$H$206:$J$215,3,FALSE)+1&amp;" +")</f>
        <v>61 +</v>
      </c>
      <c r="G16" s="147">
        <f>IF($J$6="Monthly",D$229,F$229)</f>
        <v>0</v>
      </c>
      <c r="H16" s="139">
        <f>G16*E16</f>
        <v>0</v>
      </c>
      <c r="J16" s="12"/>
      <c r="U16" s="94"/>
      <c r="V16" s="94"/>
    </row>
    <row r="17" spans="1:24" s="5" customFormat="1" ht="16.5" customHeight="1" x14ac:dyDescent="0.25">
      <c r="A17"/>
      <c r="B17"/>
      <c r="C17"/>
      <c r="D17" s="33" t="s">
        <v>8</v>
      </c>
      <c r="E17" s="34"/>
      <c r="F17" s="34"/>
      <c r="G17" s="56">
        <f>SUM(D227:D229)</f>
        <v>12</v>
      </c>
      <c r="H17" s="35">
        <f>SUM(H14:H16)</f>
        <v>82.800000000000011</v>
      </c>
      <c r="I17" s="58"/>
      <c r="J17" s="58"/>
      <c r="R17" s="76"/>
      <c r="S17" s="77"/>
      <c r="U17" s="94"/>
      <c r="V17" s="94"/>
      <c r="X17"/>
    </row>
    <row r="18" spans="1:24" s="5" customFormat="1" ht="15.75" x14ac:dyDescent="0.25">
      <c r="A18"/>
      <c r="B18"/>
      <c r="C18"/>
      <c r="D18" s="78" t="str">
        <f>Rates!P15</f>
        <v>Effective 1/1/26</v>
      </c>
      <c r="E18" s="34"/>
      <c r="F18" s="34"/>
      <c r="G18" s="79"/>
      <c r="H18" s="35"/>
      <c r="I18" s="58"/>
      <c r="J18" s="58"/>
      <c r="R18" s="76"/>
      <c r="S18" s="77"/>
      <c r="T18" s="95"/>
      <c r="U18" s="96"/>
      <c r="V18" s="96"/>
      <c r="X18"/>
    </row>
    <row r="19" spans="1:24" ht="2.25" customHeight="1" x14ac:dyDescent="0.2">
      <c r="D19" s="36"/>
      <c r="E19" s="37"/>
      <c r="F19" s="37"/>
      <c r="G19" s="37"/>
      <c r="H19" s="39"/>
      <c r="U19" s="94"/>
      <c r="V19" s="94"/>
    </row>
    <row r="20" spans="1:24" s="5" customFormat="1" ht="15.75" x14ac:dyDescent="0.25">
      <c r="A20"/>
      <c r="B20"/>
      <c r="C20"/>
      <c r="D20" s="33" t="s">
        <v>9</v>
      </c>
      <c r="E20" s="34"/>
      <c r="F20" s="34"/>
      <c r="G20" s="34"/>
      <c r="H20" s="45">
        <f>IF(J$6="Monthly",VLOOKUP($J$7,$A$206:$B$215,2,FALSE),VLOOKUP($J$7,$A$206:$B$215,2,FALSE)*2)</f>
        <v>55.94</v>
      </c>
      <c r="I20" s="58"/>
      <c r="J20" s="58"/>
      <c r="K20" s="12"/>
      <c r="L20" s="12"/>
      <c r="M20" s="12"/>
      <c r="N20" s="12"/>
      <c r="O20" s="12"/>
      <c r="P20" s="12"/>
      <c r="R20" s="57"/>
      <c r="S20" s="12"/>
      <c r="T20"/>
      <c r="U20" s="96" t="s">
        <v>74</v>
      </c>
      <c r="V20" s="94"/>
    </row>
    <row r="21" spans="1:24" s="5" customFormat="1" ht="15.75" x14ac:dyDescent="0.25">
      <c r="A21"/>
      <c r="B21"/>
      <c r="C21"/>
      <c r="D21" s="78" t="str">
        <f>Rates!P9</f>
        <v>Effective 1/1/26</v>
      </c>
      <c r="E21" s="34"/>
      <c r="F21" s="34"/>
      <c r="G21" s="34"/>
      <c r="H21" s="35"/>
      <c r="I21" s="58"/>
      <c r="J21" s="58"/>
      <c r="K21" s="12"/>
      <c r="L21" s="12"/>
      <c r="M21" s="12"/>
      <c r="N21" s="12"/>
      <c r="O21" s="12"/>
      <c r="P21" s="12"/>
      <c r="R21" s="57"/>
      <c r="S21" s="12"/>
      <c r="T21"/>
      <c r="U21" s="97">
        <f>(H20+H23)*0.25</f>
        <v>15.122499999999999</v>
      </c>
      <c r="V21" s="94"/>
    </row>
    <row r="22" spans="1:24" ht="2.25" customHeight="1" x14ac:dyDescent="0.2">
      <c r="D22" s="36"/>
      <c r="E22" s="37"/>
      <c r="F22" s="37"/>
      <c r="G22" s="37"/>
      <c r="H22" s="39"/>
      <c r="U22" s="94"/>
      <c r="V22" s="94"/>
    </row>
    <row r="23" spans="1:24" s="5" customFormat="1" ht="15.75" x14ac:dyDescent="0.25">
      <c r="A23"/>
      <c r="B23"/>
      <c r="C23"/>
      <c r="D23" s="33" t="s">
        <v>32</v>
      </c>
      <c r="E23" s="34"/>
      <c r="F23" s="34"/>
      <c r="G23" s="34"/>
      <c r="H23" s="41">
        <f>IF(J$6="Monthly",VLOOKUP($J$7,$E$187:$F$196,2,FALSE),VLOOKUP($J$7,$E$187:$F$196,2,FALSE)*2)</f>
        <v>4.55</v>
      </c>
      <c r="I23" s="59"/>
      <c r="N23" s="169"/>
      <c r="O23" s="169"/>
      <c r="P23" s="169"/>
      <c r="R23" s="12"/>
      <c r="S23" s="12"/>
      <c r="T23"/>
      <c r="U23" s="58">
        <f>H20+H23</f>
        <v>60.489999999999995</v>
      </c>
      <c r="V23" s="169" t="s">
        <v>121</v>
      </c>
      <c r="W23" s="169"/>
      <c r="X23" s="169"/>
    </row>
    <row r="24" spans="1:24" s="5" customFormat="1" ht="15.75" x14ac:dyDescent="0.25">
      <c r="A24"/>
      <c r="B24"/>
      <c r="C24"/>
      <c r="D24" s="78" t="str">
        <f>Rates!P11</f>
        <v>Effective 1/1/25</v>
      </c>
      <c r="E24" s="34"/>
      <c r="F24" s="34"/>
      <c r="G24" s="34"/>
      <c r="H24" s="35"/>
      <c r="I24" s="59"/>
      <c r="J24" s="58"/>
      <c r="K24" s="12"/>
      <c r="L24" s="12"/>
      <c r="M24" s="12"/>
      <c r="N24" s="12"/>
      <c r="O24" s="12"/>
      <c r="P24" s="12"/>
      <c r="R24" s="12"/>
      <c r="S24" s="12"/>
      <c r="T24"/>
      <c r="U24" s="75"/>
      <c r="V24" s="75"/>
    </row>
    <row r="25" spans="1:24" s="5" customFormat="1" ht="1.5" customHeight="1" x14ac:dyDescent="0.2">
      <c r="A25"/>
      <c r="B25"/>
      <c r="C25"/>
      <c r="D25" s="36"/>
      <c r="E25" s="37"/>
      <c r="F25" s="37"/>
      <c r="G25" s="37"/>
      <c r="H25" s="39"/>
      <c r="I25" s="59"/>
      <c r="J25" s="58"/>
      <c r="K25" s="12"/>
      <c r="L25" s="12"/>
      <c r="M25" s="12"/>
      <c r="N25" s="12"/>
      <c r="O25" s="12"/>
      <c r="P25" s="12"/>
      <c r="R25" s="12"/>
      <c r="S25" s="12"/>
      <c r="T25"/>
      <c r="U25" s="75"/>
      <c r="V25" s="75"/>
    </row>
    <row r="26" spans="1:24" s="5" customFormat="1" ht="15.75" x14ac:dyDescent="0.25">
      <c r="A26"/>
      <c r="B26"/>
      <c r="C26"/>
      <c r="D26" s="175" t="s">
        <v>151</v>
      </c>
      <c r="E26" s="38"/>
      <c r="F26" s="38"/>
      <c r="G26" s="38"/>
      <c r="H26" s="40"/>
      <c r="I26" s="59"/>
      <c r="J26" s="58"/>
      <c r="K26" s="12"/>
      <c r="L26" s="12"/>
      <c r="M26" s="12"/>
      <c r="N26" s="12"/>
      <c r="O26" s="12"/>
      <c r="P26" s="12"/>
      <c r="R26" s="12"/>
      <c r="S26" s="12"/>
      <c r="T26"/>
      <c r="U26" s="75"/>
      <c r="V26" s="75"/>
    </row>
    <row r="27" spans="1:24" s="5" customFormat="1" ht="14.25" customHeight="1" x14ac:dyDescent="0.25">
      <c r="A27"/>
      <c r="B27"/>
      <c r="C27"/>
      <c r="D27" s="78" t="str">
        <f>Rates!P19</f>
        <v>Effective 1/1/26</v>
      </c>
      <c r="E27" s="34"/>
      <c r="F27" s="34"/>
      <c r="G27" s="34"/>
      <c r="H27" s="181">
        <f>IF(J$6="Monthly",VLOOKUP($J$8,$A$218:$B$228,2,FALSE),VLOOKUP($J$8,$A$218:$B$228,2,FALSE)*2)</f>
        <v>0</v>
      </c>
      <c r="I27" s="59"/>
      <c r="J27" s="58"/>
      <c r="K27" s="12"/>
      <c r="L27" s="12"/>
      <c r="M27" s="12"/>
      <c r="N27" s="12"/>
      <c r="O27" s="12"/>
      <c r="P27" s="12"/>
      <c r="R27" s="12"/>
      <c r="S27" s="12"/>
      <c r="T27"/>
      <c r="U27" s="75"/>
      <c r="V27" s="75"/>
    </row>
    <row r="28" spans="1:24" ht="2.25" customHeight="1" x14ac:dyDescent="0.2">
      <c r="D28" s="36"/>
      <c r="E28" s="37"/>
      <c r="F28" s="37"/>
      <c r="G28" s="37"/>
      <c r="H28" s="39"/>
    </row>
    <row r="29" spans="1:24" ht="3.75" customHeight="1" x14ac:dyDescent="0.2">
      <c r="D29" s="31"/>
      <c r="E29" s="38"/>
      <c r="F29" s="38"/>
      <c r="G29" s="38"/>
      <c r="H29" s="40"/>
    </row>
    <row r="30" spans="1:24" ht="16.5" customHeight="1" thickBot="1" x14ac:dyDescent="0.3">
      <c r="D30" s="190" t="s">
        <v>157</v>
      </c>
      <c r="E30" s="135"/>
      <c r="F30" s="135"/>
      <c r="G30" s="135"/>
      <c r="H30" s="136">
        <f>H20+H17+H23+H27</f>
        <v>143.29000000000002</v>
      </c>
      <c r="I30" s="12"/>
      <c r="J30" s="12"/>
    </row>
    <row r="31" spans="1:24" ht="6.75" customHeight="1" x14ac:dyDescent="0.25">
      <c r="D31" s="197"/>
      <c r="E31" s="34"/>
      <c r="F31" s="34"/>
      <c r="G31" s="34"/>
      <c r="H31" s="185"/>
      <c r="I31" s="12"/>
      <c r="J31" s="12"/>
    </row>
    <row r="32" spans="1:24" ht="18.75" thickBot="1" x14ac:dyDescent="0.3">
      <c r="B32" s="198" t="s">
        <v>167</v>
      </c>
      <c r="C32" s="199"/>
      <c r="D32" s="200"/>
      <c r="E32" s="201"/>
      <c r="F32" s="201"/>
      <c r="G32" s="201"/>
      <c r="H32" s="202"/>
      <c r="I32" s="12"/>
      <c r="J32" s="12"/>
    </row>
    <row r="33" spans="2:10" ht="18" customHeight="1" x14ac:dyDescent="0.25">
      <c r="B33" s="188" t="s">
        <v>159</v>
      </c>
      <c r="C33" s="187"/>
      <c r="D33" s="208" t="s">
        <v>33</v>
      </c>
      <c r="E33" s="209"/>
      <c r="F33" s="209"/>
      <c r="G33" s="209"/>
      <c r="H33" s="210"/>
      <c r="I33" s="12"/>
      <c r="J33" s="12"/>
    </row>
    <row r="34" spans="2:10" ht="18" x14ac:dyDescent="0.25">
      <c r="B34" s="189"/>
      <c r="D34" s="131"/>
      <c r="E34" s="140" t="s">
        <v>116</v>
      </c>
      <c r="F34" s="129" t="s">
        <v>3</v>
      </c>
      <c r="G34" s="144" t="s">
        <v>3</v>
      </c>
      <c r="H34" s="132"/>
      <c r="I34" s="12"/>
      <c r="J34" s="12"/>
    </row>
    <row r="35" spans="2:10" ht="18" x14ac:dyDescent="0.25">
      <c r="B35" s="189"/>
      <c r="D35" s="133" t="s">
        <v>3</v>
      </c>
      <c r="E35" s="191" t="s">
        <v>158</v>
      </c>
      <c r="F35" s="130" t="s">
        <v>114</v>
      </c>
      <c r="G35" s="145" t="s">
        <v>115</v>
      </c>
      <c r="H35" s="134" t="s">
        <v>4</v>
      </c>
      <c r="I35" s="12"/>
      <c r="J35" s="12"/>
    </row>
    <row r="36" spans="2:10" ht="18" x14ac:dyDescent="0.25">
      <c r="B36" s="189"/>
      <c r="D36" s="31" t="s">
        <v>5</v>
      </c>
      <c r="E36" s="142">
        <f>+Rates!O25</f>
        <v>6.24</v>
      </c>
      <c r="F36" s="50" t="str">
        <f>IF(J28="Monthly","0 - "&amp;VLOOKUP($J$7,$D$206:$E$215,2,FALSE),"0 - "&amp;VLOOKUP($J$7,$H$206:$I$215,2,FALSE))</f>
        <v>0 - 12</v>
      </c>
      <c r="G36" s="146">
        <f>IF($J$6="Monthly",D$227,F$227)</f>
        <v>6</v>
      </c>
      <c r="H36" s="137">
        <f>G36*E36</f>
        <v>37.44</v>
      </c>
      <c r="I36" s="12"/>
      <c r="J36" s="12"/>
    </row>
    <row r="37" spans="2:10" ht="18" x14ac:dyDescent="0.25">
      <c r="B37" s="189"/>
      <c r="D37" s="31" t="s">
        <v>6</v>
      </c>
      <c r="E37" s="142">
        <f>+Rates!O26</f>
        <v>8.08</v>
      </c>
      <c r="F37" s="51" t="str">
        <f>IF(J28="Monthly",VLOOKUP($J$7,$D$206:$E$215,2,FALSE)+1&amp;" - "&amp;VLOOKUP($J$7,$D$206:$F$215,3,FALSE),VLOOKUP($J$7,$H$206:$I$215,2,FALSE)+1&amp;" - "&amp;VLOOKUP($J$7,$H$206:$J$215,3,FALSE))</f>
        <v>13 - 120</v>
      </c>
      <c r="G37" s="146">
        <f>IF($J$6="Monthly",D$228,F$228)</f>
        <v>6</v>
      </c>
      <c r="H37" s="138">
        <f>G37*E37</f>
        <v>48.480000000000004</v>
      </c>
      <c r="I37" s="12"/>
      <c r="J37" s="12"/>
    </row>
    <row r="38" spans="2:10" ht="18" x14ac:dyDescent="0.25">
      <c r="B38" s="189"/>
      <c r="D38" s="32" t="s">
        <v>7</v>
      </c>
      <c r="E38" s="143">
        <f>+Rates!O27</f>
        <v>8.11</v>
      </c>
      <c r="F38" s="52" t="str">
        <f>IF(J28="Monthly",VLOOKUP($J$7,$D$206:$F$215,3,FALSE)+1&amp;" +",VLOOKUP($J$7,$H$206:$J$215,3,FALSE)+1&amp;" +")</f>
        <v>121 +</v>
      </c>
      <c r="G38" s="147">
        <f>IF($J$6="Monthly",D$229,F$229)</f>
        <v>0</v>
      </c>
      <c r="H38" s="139">
        <f>G38*E38</f>
        <v>0</v>
      </c>
      <c r="I38" s="12"/>
      <c r="J38" s="12"/>
    </row>
    <row r="39" spans="2:10" ht="14.25" customHeight="1" x14ac:dyDescent="0.25">
      <c r="B39" s="189"/>
      <c r="D39" s="33" t="s">
        <v>8</v>
      </c>
      <c r="E39" s="34"/>
      <c r="F39" s="34"/>
      <c r="G39" s="56">
        <f>SUM(G36:G38)</f>
        <v>12</v>
      </c>
      <c r="H39" s="35">
        <f>SUM(H36:H38)</f>
        <v>85.92</v>
      </c>
      <c r="I39" s="12"/>
      <c r="J39" s="12"/>
    </row>
    <row r="40" spans="2:10" ht="13.5" customHeight="1" x14ac:dyDescent="0.25">
      <c r="B40" s="189"/>
      <c r="D40" s="192" t="s">
        <v>158</v>
      </c>
      <c r="E40" s="34"/>
      <c r="F40" s="34"/>
      <c r="G40" s="79"/>
      <c r="H40" s="35"/>
      <c r="I40" s="12"/>
      <c r="J40" s="12"/>
    </row>
    <row r="41" spans="2:10" ht="4.5" customHeight="1" x14ac:dyDescent="0.25">
      <c r="B41" s="189"/>
      <c r="D41" s="36"/>
      <c r="E41" s="37"/>
      <c r="F41" s="37"/>
      <c r="G41" s="37"/>
      <c r="H41" s="39"/>
      <c r="I41" s="12"/>
      <c r="J41" s="12"/>
    </row>
    <row r="42" spans="2:10" ht="13.5" customHeight="1" x14ac:dyDescent="0.25">
      <c r="B42" s="189"/>
      <c r="D42" s="33" t="s">
        <v>9</v>
      </c>
      <c r="E42" s="34"/>
      <c r="F42" s="34"/>
      <c r="G42" s="34"/>
      <c r="H42" s="45">
        <f>IF(J$6="Monthly",VLOOKUP($J$7,$B$234:$E$243,2,FALSE),VLOOKUP($J$7,$B$234:$E$243,2,FALSE)*2)</f>
        <v>58.17</v>
      </c>
      <c r="I42" s="12"/>
      <c r="J42" s="12"/>
    </row>
    <row r="43" spans="2:10" ht="13.5" customHeight="1" x14ac:dyDescent="0.25">
      <c r="B43" s="189"/>
      <c r="D43" s="78" t="str">
        <f>+D40</f>
        <v>Effective 1/1/27</v>
      </c>
      <c r="E43" s="34"/>
      <c r="F43" s="34"/>
      <c r="G43" s="34"/>
      <c r="H43" s="35"/>
      <c r="I43" s="12"/>
      <c r="J43" s="12"/>
    </row>
    <row r="44" spans="2:10" ht="4.5" customHeight="1" x14ac:dyDescent="0.25">
      <c r="B44" s="189"/>
      <c r="D44" s="36"/>
      <c r="E44" s="37"/>
      <c r="F44" s="37"/>
      <c r="G44" s="37"/>
      <c r="H44" s="39"/>
      <c r="I44" s="12"/>
      <c r="J44" s="12"/>
    </row>
    <row r="45" spans="2:10" ht="15" customHeight="1" x14ac:dyDescent="0.25">
      <c r="B45" s="189"/>
      <c r="D45" s="33" t="s">
        <v>32</v>
      </c>
      <c r="E45" s="34"/>
      <c r="F45" s="34"/>
      <c r="G45" s="34"/>
      <c r="H45" s="41">
        <f>IF(J$6="Monthly",VLOOKUP($J$7,$E$187:$F$196,2,FALSE),VLOOKUP($J$7,$E$187:$F$196,2,FALSE)*2)</f>
        <v>4.55</v>
      </c>
      <c r="I45" s="12"/>
      <c r="J45" s="12"/>
    </row>
    <row r="46" spans="2:10" ht="13.5" customHeight="1" x14ac:dyDescent="0.25">
      <c r="B46" s="189"/>
      <c r="D46" s="192" t="s">
        <v>149</v>
      </c>
      <c r="E46" s="34"/>
      <c r="F46" s="34"/>
      <c r="G46" s="34"/>
      <c r="H46" s="35"/>
      <c r="I46" s="12"/>
      <c r="J46" s="12"/>
    </row>
    <row r="47" spans="2:10" ht="4.5" customHeight="1" x14ac:dyDescent="0.25">
      <c r="B47" s="189"/>
      <c r="D47" s="36"/>
      <c r="E47" s="37"/>
      <c r="F47" s="37"/>
      <c r="G47" s="37"/>
      <c r="H47" s="39"/>
      <c r="I47" s="12"/>
      <c r="J47" s="12"/>
    </row>
    <row r="48" spans="2:10" ht="13.5" customHeight="1" x14ac:dyDescent="0.25">
      <c r="B48" s="189"/>
      <c r="D48" s="175" t="s">
        <v>151</v>
      </c>
      <c r="E48" s="38"/>
      <c r="F48" s="38"/>
      <c r="G48" s="38"/>
      <c r="H48" s="40"/>
      <c r="I48" s="12"/>
      <c r="J48" s="12"/>
    </row>
    <row r="49" spans="2:20" ht="13.5" customHeight="1" x14ac:dyDescent="0.25">
      <c r="B49" s="189"/>
      <c r="D49" s="78" t="str">
        <f>+D43</f>
        <v>Effective 1/1/27</v>
      </c>
      <c r="E49" s="34"/>
      <c r="F49" s="34"/>
      <c r="G49" s="34"/>
      <c r="H49" s="181">
        <f>IF(J$6="Monthly",VLOOKUP($J$8,$B$246:$E$256,2,FALSE),VLOOKUP($J$8,$B$246:$E$256,2,FALSE)*2)</f>
        <v>0</v>
      </c>
      <c r="I49" s="12"/>
      <c r="J49" s="12"/>
    </row>
    <row r="50" spans="2:20" ht="4.5" customHeight="1" x14ac:dyDescent="0.25">
      <c r="B50" s="189"/>
      <c r="D50" s="36"/>
      <c r="E50" s="37"/>
      <c r="F50" s="37"/>
      <c r="G50" s="37"/>
      <c r="H50" s="39"/>
      <c r="I50" s="12"/>
      <c r="J50" s="12"/>
    </row>
    <row r="51" spans="2:20" ht="4.5" customHeight="1" x14ac:dyDescent="0.25">
      <c r="B51" s="189"/>
      <c r="D51" s="31"/>
      <c r="E51" s="38"/>
      <c r="F51" s="38"/>
      <c r="G51" s="38"/>
      <c r="H51" s="40"/>
      <c r="I51" s="12"/>
      <c r="J51" s="12"/>
    </row>
    <row r="52" spans="2:20" ht="13.5" customHeight="1" thickBot="1" x14ac:dyDescent="0.3">
      <c r="D52" s="190" t="s">
        <v>160</v>
      </c>
      <c r="E52" s="135"/>
      <c r="F52" s="135"/>
      <c r="G52" s="135"/>
      <c r="H52" s="136">
        <f>H42+H39+H45+H49</f>
        <v>148.64000000000001</v>
      </c>
      <c r="J52" s="12"/>
    </row>
    <row r="53" spans="2:20" ht="18.75" thickBot="1" x14ac:dyDescent="0.3">
      <c r="B53" s="198" t="s">
        <v>167</v>
      </c>
      <c r="C53" s="199"/>
      <c r="D53" s="200"/>
      <c r="E53" s="201"/>
      <c r="F53" s="201"/>
      <c r="G53" s="201"/>
      <c r="H53" s="202"/>
      <c r="I53" s="80"/>
      <c r="J53" s="12"/>
    </row>
    <row r="54" spans="2:20" ht="18" x14ac:dyDescent="0.25">
      <c r="B54" s="188" t="s">
        <v>162</v>
      </c>
      <c r="C54" s="187"/>
      <c r="D54" s="208" t="s">
        <v>33</v>
      </c>
      <c r="E54" s="209"/>
      <c r="F54" s="209"/>
      <c r="G54" s="209"/>
      <c r="H54" s="210"/>
      <c r="I54" s="80"/>
    </row>
    <row r="55" spans="2:20" ht="18" x14ac:dyDescent="0.25">
      <c r="B55" s="189"/>
      <c r="D55" s="131"/>
      <c r="E55" s="140" t="s">
        <v>116</v>
      </c>
      <c r="F55" s="129" t="s">
        <v>3</v>
      </c>
      <c r="G55" s="144" t="s">
        <v>3</v>
      </c>
      <c r="H55" s="132"/>
      <c r="I55" s="80"/>
      <c r="J55" s="80"/>
    </row>
    <row r="56" spans="2:20" ht="18" x14ac:dyDescent="0.25">
      <c r="B56" s="189"/>
      <c r="D56" s="133" t="s">
        <v>3</v>
      </c>
      <c r="E56" s="195" t="s">
        <v>161</v>
      </c>
      <c r="F56" s="130" t="s">
        <v>114</v>
      </c>
      <c r="G56" s="145" t="s">
        <v>115</v>
      </c>
      <c r="H56" s="134" t="s">
        <v>4</v>
      </c>
      <c r="I56" s="80"/>
    </row>
    <row r="57" spans="2:20" ht="18" x14ac:dyDescent="0.25">
      <c r="B57" s="189"/>
      <c r="D57" s="31" t="s">
        <v>5</v>
      </c>
      <c r="E57" s="142">
        <f>+Rates!P25</f>
        <v>6.48</v>
      </c>
      <c r="F57" s="50" t="str">
        <f>IF(J50="Monthly","0 - "&amp;VLOOKUP($J$7,$D$206:$E$215,2,FALSE),"0 - "&amp;VLOOKUP($J$7,$H$206:$I$215,2,FALSE))</f>
        <v>0 - 12</v>
      </c>
      <c r="G57" s="146">
        <f>IF($J$6="Monthly",D$227,F$227)</f>
        <v>6</v>
      </c>
      <c r="H57" s="137">
        <f>G57*E57</f>
        <v>38.880000000000003</v>
      </c>
    </row>
    <row r="58" spans="2:20" ht="18" x14ac:dyDescent="0.25">
      <c r="B58" s="189"/>
      <c r="D58" s="31" t="s">
        <v>6</v>
      </c>
      <c r="E58" s="142">
        <f>+Rates!P26</f>
        <v>8.3800000000000008</v>
      </c>
      <c r="F58" s="51" t="str">
        <f>IF(J50="Monthly",VLOOKUP($J$7,$D$206:$E$215,2,FALSE)+1&amp;" - "&amp;VLOOKUP($J$7,$D$206:$F$215,3,FALSE),VLOOKUP($J$7,$H$206:$I$215,2,FALSE)+1&amp;" - "&amp;VLOOKUP($J$7,$H$206:$J$215,3,FALSE))</f>
        <v>13 - 120</v>
      </c>
      <c r="G58" s="146">
        <f>IF($J$6="Monthly",D$228,F$228)</f>
        <v>6</v>
      </c>
      <c r="H58" s="138">
        <f>G58*E58</f>
        <v>50.28</v>
      </c>
    </row>
    <row r="59" spans="2:20" ht="18" x14ac:dyDescent="0.25">
      <c r="B59" s="189"/>
      <c r="D59" s="32" t="s">
        <v>7</v>
      </c>
      <c r="E59" s="143">
        <f>+Rates!P27</f>
        <v>8.42</v>
      </c>
      <c r="F59" s="52" t="str">
        <f>IF(J50="Monthly",VLOOKUP($J$7,$D$206:$F$215,3,FALSE)+1&amp;" +",VLOOKUP($J$7,$H$206:$J$215,3,FALSE)+1&amp;" +")</f>
        <v>121 +</v>
      </c>
      <c r="G59" s="147">
        <f>IF($J$6="Monthly",D$229,F$229)</f>
        <v>0</v>
      </c>
      <c r="H59" s="139">
        <f>G59*E59</f>
        <v>0</v>
      </c>
      <c r="S59" s="13"/>
      <c r="T59" s="13"/>
    </row>
    <row r="60" spans="2:20" ht="13.5" customHeight="1" x14ac:dyDescent="0.25">
      <c r="B60" s="189"/>
      <c r="D60" s="33" t="s">
        <v>8</v>
      </c>
      <c r="E60" s="34"/>
      <c r="F60" s="34"/>
      <c r="G60" s="56">
        <f>SUM(G57:G59)</f>
        <v>12</v>
      </c>
      <c r="H60" s="35">
        <f>SUM(H57:H59)</f>
        <v>89.16</v>
      </c>
    </row>
    <row r="61" spans="2:20" ht="13.5" customHeight="1" x14ac:dyDescent="0.25">
      <c r="B61" s="189"/>
      <c r="D61" s="196" t="s">
        <v>161</v>
      </c>
      <c r="E61" s="34"/>
      <c r="F61" s="34"/>
      <c r="G61" s="79"/>
      <c r="H61" s="35"/>
      <c r="S61" s="13"/>
      <c r="T61" s="13"/>
    </row>
    <row r="62" spans="2:20" ht="3.75" customHeight="1" x14ac:dyDescent="0.25">
      <c r="B62" s="189"/>
      <c r="D62" s="36"/>
      <c r="E62" s="37"/>
      <c r="F62" s="37"/>
      <c r="G62" s="37"/>
      <c r="H62" s="39"/>
    </row>
    <row r="63" spans="2:20" ht="13.5" customHeight="1" x14ac:dyDescent="0.25">
      <c r="B63" s="189"/>
      <c r="D63" s="33" t="s">
        <v>9</v>
      </c>
      <c r="E63" s="34"/>
      <c r="F63" s="34"/>
      <c r="G63" s="34"/>
      <c r="H63" s="45">
        <f>IF(J$6="Monthly",VLOOKUP($J$7,$B$234:$E$243,3,FALSE),VLOOKUP($J$7,$B$234:$E$243,3,FALSE)*2)</f>
        <v>60.5</v>
      </c>
    </row>
    <row r="64" spans="2:20" ht="13.5" customHeight="1" x14ac:dyDescent="0.25">
      <c r="B64" s="189"/>
      <c r="D64" s="78" t="str">
        <f>+D61</f>
        <v>Effective 1/1/28</v>
      </c>
      <c r="E64" s="34"/>
      <c r="F64" s="34"/>
      <c r="G64" s="34"/>
      <c r="H64" s="35"/>
    </row>
    <row r="65" spans="2:18" ht="3.75" customHeight="1" x14ac:dyDescent="0.25">
      <c r="B65" s="189"/>
      <c r="D65" s="36"/>
      <c r="E65" s="37"/>
      <c r="F65" s="37"/>
      <c r="G65" s="37"/>
      <c r="H65" s="39"/>
    </row>
    <row r="66" spans="2:18" ht="13.5" customHeight="1" x14ac:dyDescent="0.25">
      <c r="B66" s="189"/>
      <c r="D66" s="33" t="s">
        <v>32</v>
      </c>
      <c r="E66" s="34"/>
      <c r="F66" s="34"/>
      <c r="G66" s="34"/>
      <c r="H66" s="41">
        <f>IF(J$6="Monthly",VLOOKUP($J$7,$E$187:$F$196,2,FALSE),VLOOKUP($J$7,$E$187:$F$196,2,FALSE)*2)</f>
        <v>4.55</v>
      </c>
    </row>
    <row r="67" spans="2:18" ht="13.5" customHeight="1" x14ac:dyDescent="0.25">
      <c r="B67" s="189"/>
      <c r="D67" s="192" t="s">
        <v>149</v>
      </c>
      <c r="E67" s="34"/>
      <c r="F67" s="34"/>
      <c r="G67" s="34"/>
      <c r="H67" s="35"/>
    </row>
    <row r="68" spans="2:18" ht="3.75" customHeight="1" x14ac:dyDescent="0.25">
      <c r="B68" s="189"/>
      <c r="D68" s="36"/>
      <c r="E68" s="37"/>
      <c r="F68" s="37"/>
      <c r="G68" s="37"/>
      <c r="H68" s="39"/>
    </row>
    <row r="69" spans="2:18" s="14" customFormat="1" ht="13.5" customHeight="1" x14ac:dyDescent="0.25">
      <c r="B69" s="189"/>
      <c r="C69"/>
      <c r="D69" s="175" t="s">
        <v>151</v>
      </c>
      <c r="E69" s="38"/>
      <c r="F69" s="38"/>
      <c r="G69" s="38"/>
      <c r="H69" s="40"/>
    </row>
    <row r="70" spans="2:18" s="14" customFormat="1" ht="13.5" customHeight="1" x14ac:dyDescent="0.25">
      <c r="B70" s="189"/>
      <c r="C70"/>
      <c r="D70" s="78" t="str">
        <f>+D64</f>
        <v>Effective 1/1/28</v>
      </c>
      <c r="E70" s="34"/>
      <c r="F70" s="34"/>
      <c r="G70" s="34"/>
      <c r="H70" s="181">
        <f>IF(J$6="Monthly",VLOOKUP($J$8,$B$246:$E$256,3,FALSE),VLOOKUP($J$8,$B$246:$E$256,3,FALSE)*2)</f>
        <v>0</v>
      </c>
    </row>
    <row r="71" spans="2:18" s="14" customFormat="1" ht="3.75" customHeight="1" x14ac:dyDescent="0.25">
      <c r="B71" s="189"/>
      <c r="C71"/>
      <c r="D71" s="36"/>
      <c r="E71" s="37"/>
      <c r="F71" s="37"/>
      <c r="G71" s="37"/>
      <c r="H71" s="39"/>
    </row>
    <row r="72" spans="2:18" s="19" customFormat="1" ht="3.75" customHeight="1" x14ac:dyDescent="0.25">
      <c r="B72" s="189"/>
      <c r="C72"/>
      <c r="D72" s="31"/>
      <c r="E72" s="38"/>
      <c r="F72" s="38"/>
      <c r="G72" s="38"/>
      <c r="H72" s="40"/>
      <c r="R72" s="20"/>
    </row>
    <row r="73" spans="2:18" s="14" customFormat="1" ht="13.5" customHeight="1" thickBot="1" x14ac:dyDescent="0.3">
      <c r="B73"/>
      <c r="C73"/>
      <c r="D73" s="190" t="s">
        <v>160</v>
      </c>
      <c r="E73" s="135"/>
      <c r="F73" s="135"/>
      <c r="G73" s="135"/>
      <c r="H73" s="136">
        <f>H63+H60+H66+H70</f>
        <v>154.21</v>
      </c>
    </row>
    <row r="74" spans="2:18" s="14" customFormat="1" ht="18.75" thickBot="1" x14ac:dyDescent="0.3">
      <c r="B74" s="198" t="s">
        <v>167</v>
      </c>
      <c r="C74" s="199"/>
      <c r="D74" s="200"/>
      <c r="E74" s="201"/>
      <c r="F74" s="201"/>
      <c r="G74" s="201"/>
      <c r="H74" s="202"/>
    </row>
    <row r="75" spans="2:18" s="14" customFormat="1" ht="18" x14ac:dyDescent="0.25">
      <c r="B75" s="188" t="s">
        <v>163</v>
      </c>
      <c r="C75" s="187"/>
      <c r="D75" s="208" t="s">
        <v>33</v>
      </c>
      <c r="E75" s="209"/>
      <c r="F75" s="209"/>
      <c r="G75" s="209"/>
      <c r="H75" s="210"/>
    </row>
    <row r="76" spans="2:18" s="14" customFormat="1" ht="18" x14ac:dyDescent="0.25">
      <c r="B76" s="189"/>
      <c r="C76"/>
      <c r="D76" s="131"/>
      <c r="E76" s="140" t="s">
        <v>116</v>
      </c>
      <c r="F76" s="129" t="s">
        <v>3</v>
      </c>
      <c r="G76" s="144" t="s">
        <v>3</v>
      </c>
      <c r="H76" s="132"/>
    </row>
    <row r="77" spans="2:18" s="14" customFormat="1" ht="18" x14ac:dyDescent="0.25">
      <c r="B77" s="189"/>
      <c r="C77"/>
      <c r="D77" s="133" t="s">
        <v>3</v>
      </c>
      <c r="E77" s="195" t="s">
        <v>164</v>
      </c>
      <c r="F77" s="130" t="s">
        <v>114</v>
      </c>
      <c r="G77" s="145" t="s">
        <v>115</v>
      </c>
      <c r="H77" s="134" t="s">
        <v>4</v>
      </c>
    </row>
    <row r="78" spans="2:18" s="14" customFormat="1" ht="18" x14ac:dyDescent="0.25">
      <c r="B78" s="189"/>
      <c r="C78"/>
      <c r="D78" s="31" t="s">
        <v>5</v>
      </c>
      <c r="E78" s="142">
        <f>+Rates!Q25</f>
        <v>6.73</v>
      </c>
      <c r="F78" s="50" t="str">
        <f>IF(J71="Monthly","0 - "&amp;VLOOKUP($J$7,$D$206:$E$215,2,FALSE),"0 - "&amp;VLOOKUP($J$7,$H$206:$I$215,2,FALSE))</f>
        <v>0 - 12</v>
      </c>
      <c r="G78" s="146">
        <f>IF($J$6="Monthly",D$227,F$227)</f>
        <v>6</v>
      </c>
      <c r="H78" s="137">
        <f>G78*E78</f>
        <v>40.380000000000003</v>
      </c>
    </row>
    <row r="79" spans="2:18" s="14" customFormat="1" ht="18" x14ac:dyDescent="0.25">
      <c r="B79" s="189"/>
      <c r="C79"/>
      <c r="D79" s="31" t="s">
        <v>6</v>
      </c>
      <c r="E79" s="142">
        <f>+Rates!Q26</f>
        <v>8.6999999999999993</v>
      </c>
      <c r="F79" s="51" t="str">
        <f>IF(J71="Monthly",VLOOKUP($J$7,$D$206:$E$215,2,FALSE)+1&amp;" - "&amp;VLOOKUP($J$7,$D$206:$F$215,3,FALSE),VLOOKUP($J$7,$H$206:$I$215,2,FALSE)+1&amp;" - "&amp;VLOOKUP($J$7,$H$206:$J$215,3,FALSE))</f>
        <v>13 - 120</v>
      </c>
      <c r="G79" s="146">
        <f>IF($J$6="Monthly",D$228,F$228)</f>
        <v>6</v>
      </c>
      <c r="H79" s="138">
        <f>G79*E79</f>
        <v>52.199999999999996</v>
      </c>
    </row>
    <row r="80" spans="2:18" s="14" customFormat="1" ht="18" x14ac:dyDescent="0.25">
      <c r="B80" s="189"/>
      <c r="C80"/>
      <c r="D80" s="32" t="s">
        <v>7</v>
      </c>
      <c r="E80" s="143">
        <f>+Rates!Q27</f>
        <v>8.74</v>
      </c>
      <c r="F80" s="52" t="str">
        <f>IF(J71="Monthly",VLOOKUP($J$7,$D$206:$F$215,3,FALSE)+1&amp;" +",VLOOKUP($J$7,$H$206:$J$215,3,FALSE)+1&amp;" +")</f>
        <v>121 +</v>
      </c>
      <c r="G80" s="147">
        <f>IF($J$6="Monthly",D$229,F$229)</f>
        <v>0</v>
      </c>
      <c r="H80" s="139">
        <f>G80*E80</f>
        <v>0</v>
      </c>
    </row>
    <row r="81" spans="2:19" s="14" customFormat="1" ht="14.25" customHeight="1" x14ac:dyDescent="0.25">
      <c r="B81" s="189"/>
      <c r="C81"/>
      <c r="D81" s="33" t="s">
        <v>8</v>
      </c>
      <c r="E81" s="34"/>
      <c r="F81" s="34"/>
      <c r="G81" s="56">
        <f>SUM(G78:G80)</f>
        <v>12</v>
      </c>
      <c r="H81" s="35">
        <f>SUM(H78:H80)</f>
        <v>92.58</v>
      </c>
    </row>
    <row r="82" spans="2:19" s="14" customFormat="1" ht="14.25" customHeight="1" x14ac:dyDescent="0.25">
      <c r="B82" s="189"/>
      <c r="C82"/>
      <c r="D82" s="196" t="s">
        <v>164</v>
      </c>
      <c r="E82" s="34"/>
      <c r="F82" s="34"/>
      <c r="G82" s="79"/>
      <c r="H82" s="35"/>
    </row>
    <row r="83" spans="2:19" s="14" customFormat="1" ht="2.25" customHeight="1" x14ac:dyDescent="0.25">
      <c r="B83" s="189"/>
      <c r="C83"/>
      <c r="D83" s="36"/>
      <c r="E83" s="37"/>
      <c r="F83" s="37"/>
      <c r="G83" s="37"/>
      <c r="H83" s="39"/>
    </row>
    <row r="84" spans="2:19" s="14" customFormat="1" ht="14.25" customHeight="1" x14ac:dyDescent="0.25">
      <c r="B84" s="189"/>
      <c r="C84"/>
      <c r="D84" s="33" t="s">
        <v>9</v>
      </c>
      <c r="E84" s="34"/>
      <c r="F84" s="34"/>
      <c r="G84" s="34"/>
      <c r="H84" s="45">
        <f>IF(J$6="Monthly",VLOOKUP($J$7,$B$234:$E$243,4,FALSE),VLOOKUP($J$7,$B$234:$E$243,4,FALSE)*2)</f>
        <v>62.92</v>
      </c>
    </row>
    <row r="85" spans="2:19" s="14" customFormat="1" ht="14.25" customHeight="1" x14ac:dyDescent="0.25">
      <c r="B85" s="189"/>
      <c r="C85"/>
      <c r="D85" s="78" t="str">
        <f>+D82</f>
        <v>Effective 1/1/29</v>
      </c>
      <c r="E85" s="34"/>
      <c r="F85" s="34"/>
      <c r="G85" s="34"/>
      <c r="H85" s="35"/>
    </row>
    <row r="86" spans="2:19" s="14" customFormat="1" ht="2.25" customHeight="1" x14ac:dyDescent="0.25">
      <c r="B86" s="189"/>
      <c r="C86"/>
      <c r="D86" s="36"/>
      <c r="E86" s="37"/>
      <c r="F86" s="37"/>
      <c r="G86" s="37"/>
      <c r="H86" s="39"/>
    </row>
    <row r="87" spans="2:19" s="14" customFormat="1" ht="14.25" customHeight="1" x14ac:dyDescent="0.25">
      <c r="B87" s="189"/>
      <c r="C87"/>
      <c r="D87" s="33" t="s">
        <v>32</v>
      </c>
      <c r="E87" s="34"/>
      <c r="F87" s="34"/>
      <c r="G87" s="34"/>
      <c r="H87" s="41">
        <f>IF(J$6="Monthly",VLOOKUP($J$7,$E$187:$F$196,2,FALSE),VLOOKUP($J$7,$E$187:$F$196,2,FALSE)*2)</f>
        <v>4.55</v>
      </c>
    </row>
    <row r="88" spans="2:19" s="14" customFormat="1" ht="14.25" customHeight="1" x14ac:dyDescent="0.25">
      <c r="B88" s="189"/>
      <c r="C88"/>
      <c r="D88" s="192" t="s">
        <v>149</v>
      </c>
      <c r="E88" s="34"/>
      <c r="F88" s="34"/>
      <c r="G88" s="34"/>
      <c r="H88" s="35"/>
    </row>
    <row r="89" spans="2:19" s="14" customFormat="1" ht="2.25" customHeight="1" x14ac:dyDescent="0.25">
      <c r="B89" s="189"/>
      <c r="C89"/>
      <c r="D89" s="36"/>
      <c r="E89" s="37"/>
      <c r="F89" s="37"/>
      <c r="G89" s="37"/>
      <c r="H89" s="39"/>
    </row>
    <row r="90" spans="2:19" s="14" customFormat="1" ht="14.25" customHeight="1" x14ac:dyDescent="0.25">
      <c r="B90" s="189"/>
      <c r="C90"/>
      <c r="D90" s="175" t="s">
        <v>151</v>
      </c>
      <c r="E90" s="38"/>
      <c r="F90" s="38"/>
      <c r="G90" s="38"/>
      <c r="H90" s="40"/>
    </row>
    <row r="91" spans="2:19" s="14" customFormat="1" ht="14.25" customHeight="1" x14ac:dyDescent="0.25">
      <c r="B91" s="189"/>
      <c r="C91"/>
      <c r="D91" s="78" t="str">
        <f>+D85</f>
        <v>Effective 1/1/29</v>
      </c>
      <c r="E91" s="34"/>
      <c r="F91" s="34"/>
      <c r="G91" s="34"/>
      <c r="H91" s="181">
        <f>IF(J$6="Monthly",VLOOKUP($J$8,$B$246:$E$256,4,FALSE),VLOOKUP($J$8,$B$246:$E$256,4,FALSE)*2)</f>
        <v>0</v>
      </c>
    </row>
    <row r="92" spans="2:19" s="14" customFormat="1" ht="2.25" customHeight="1" x14ac:dyDescent="0.25">
      <c r="B92" s="189"/>
      <c r="C92"/>
      <c r="D92" s="36"/>
      <c r="E92" s="37"/>
      <c r="F92" s="37"/>
      <c r="G92" s="37"/>
      <c r="H92" s="39"/>
      <c r="S92" s="21"/>
    </row>
    <row r="93" spans="2:19" s="14" customFormat="1" ht="2.25" customHeight="1" x14ac:dyDescent="0.25">
      <c r="B93" s="189"/>
      <c r="C93"/>
      <c r="D93" s="31"/>
      <c r="E93" s="38"/>
      <c r="F93" s="38"/>
      <c r="G93" s="38"/>
      <c r="H93" s="40"/>
    </row>
    <row r="94" spans="2:19" s="17" customFormat="1" ht="14.25" customHeight="1" thickBot="1" x14ac:dyDescent="0.3">
      <c r="B94"/>
      <c r="C94"/>
      <c r="D94" s="190" t="s">
        <v>160</v>
      </c>
      <c r="E94" s="135"/>
      <c r="F94" s="135"/>
      <c r="G94" s="135"/>
      <c r="H94" s="136">
        <f>H84+H81+H87+H91</f>
        <v>160.05000000000001</v>
      </c>
    </row>
    <row r="95" spans="2:19" s="17" customFormat="1" ht="18.75" thickBot="1" x14ac:dyDescent="0.3">
      <c r="B95" s="198" t="s">
        <v>167</v>
      </c>
      <c r="C95" s="199"/>
      <c r="D95" s="200"/>
      <c r="E95" s="201"/>
      <c r="F95" s="201"/>
      <c r="G95" s="201"/>
      <c r="H95" s="202"/>
      <c r="I95" s="23"/>
    </row>
    <row r="96" spans="2:19" s="17" customFormat="1" ht="18" x14ac:dyDescent="0.25">
      <c r="B96" s="188" t="s">
        <v>165</v>
      </c>
      <c r="C96" s="187"/>
      <c r="D96" s="208" t="s">
        <v>33</v>
      </c>
      <c r="E96" s="209"/>
      <c r="F96" s="209"/>
      <c r="G96" s="209"/>
      <c r="H96" s="210"/>
    </row>
    <row r="97" spans="2:8" s="17" customFormat="1" ht="18" x14ac:dyDescent="0.25">
      <c r="B97" s="189"/>
      <c r="C97"/>
      <c r="D97" s="131"/>
      <c r="E97" s="140" t="s">
        <v>116</v>
      </c>
      <c r="F97" s="129" t="s">
        <v>3</v>
      </c>
      <c r="G97" s="144" t="s">
        <v>3</v>
      </c>
      <c r="H97" s="132"/>
    </row>
    <row r="98" spans="2:8" s="17" customFormat="1" ht="18" x14ac:dyDescent="0.25">
      <c r="B98" s="189"/>
      <c r="C98"/>
      <c r="D98" s="133" t="s">
        <v>3</v>
      </c>
      <c r="E98" s="195" t="s">
        <v>166</v>
      </c>
      <c r="F98" s="130" t="s">
        <v>114</v>
      </c>
      <c r="G98" s="145" t="s">
        <v>115</v>
      </c>
      <c r="H98" s="134" t="s">
        <v>4</v>
      </c>
    </row>
    <row r="99" spans="2:8" s="17" customFormat="1" ht="18" x14ac:dyDescent="0.25">
      <c r="B99" s="189"/>
      <c r="C99"/>
      <c r="D99" s="31" t="s">
        <v>5</v>
      </c>
      <c r="E99" s="142">
        <f>+Rates!R25</f>
        <v>6.99</v>
      </c>
      <c r="F99" s="50" t="str">
        <f>IF(J92="Monthly","0 - "&amp;VLOOKUP($J$7,$D$206:$E$215,2,FALSE),"0 - "&amp;VLOOKUP($J$7,$H$206:$I$215,2,FALSE))</f>
        <v>0 - 12</v>
      </c>
      <c r="G99" s="146">
        <f>IF($J$6="Monthly",D$227,F$227)</f>
        <v>6</v>
      </c>
      <c r="H99" s="137">
        <f>G99*E99</f>
        <v>41.94</v>
      </c>
    </row>
    <row r="100" spans="2:8" s="17" customFormat="1" ht="18" x14ac:dyDescent="0.25">
      <c r="B100" s="189"/>
      <c r="C100"/>
      <c r="D100" s="31" t="s">
        <v>6</v>
      </c>
      <c r="E100" s="142">
        <f>+Rates!R26</f>
        <v>9.0299999999999994</v>
      </c>
      <c r="F100" s="51" t="str">
        <f>IF(J92="Monthly",VLOOKUP($J$7,$D$206:$E$215,2,FALSE)+1&amp;" - "&amp;VLOOKUP($J$7,$D$206:$F$215,3,FALSE),VLOOKUP($J$7,$H$206:$I$215,2,FALSE)+1&amp;" - "&amp;VLOOKUP($J$7,$H$206:$J$215,3,FALSE))</f>
        <v>13 - 120</v>
      </c>
      <c r="G100" s="146">
        <f>IF($J$6="Monthly",D$228,F$228)</f>
        <v>6</v>
      </c>
      <c r="H100" s="138">
        <f>G100*E100</f>
        <v>54.179999999999993</v>
      </c>
    </row>
    <row r="101" spans="2:8" s="17" customFormat="1" ht="18" x14ac:dyDescent="0.25">
      <c r="B101" s="189"/>
      <c r="C101"/>
      <c r="D101" s="32" t="s">
        <v>7</v>
      </c>
      <c r="E101" s="143">
        <f>+Rates!R27</f>
        <v>9.07</v>
      </c>
      <c r="F101" s="52" t="str">
        <f>IF(J92="Monthly",VLOOKUP($J$7,$D$206:$F$215,3,FALSE)+1&amp;" +",VLOOKUP($J$7,$H$206:$J$215,3,FALSE)+1&amp;" +")</f>
        <v>121 +</v>
      </c>
      <c r="G101" s="147">
        <f>IF($J$6="Monthly",D$229,F$229)</f>
        <v>0</v>
      </c>
      <c r="H101" s="139">
        <f>G101*E101</f>
        <v>0</v>
      </c>
    </row>
    <row r="102" spans="2:8" s="17" customFormat="1" ht="15.75" customHeight="1" x14ac:dyDescent="0.25">
      <c r="B102" s="189"/>
      <c r="C102"/>
      <c r="D102" s="33" t="s">
        <v>8</v>
      </c>
      <c r="E102" s="34"/>
      <c r="F102" s="34"/>
      <c r="G102" s="56">
        <f>SUM(G99:G101)</f>
        <v>12</v>
      </c>
      <c r="H102" s="35">
        <f>SUM(H99:H101)</f>
        <v>96.11999999999999</v>
      </c>
    </row>
    <row r="103" spans="2:8" s="17" customFormat="1" ht="15.75" customHeight="1" x14ac:dyDescent="0.25">
      <c r="B103" s="189"/>
      <c r="C103"/>
      <c r="D103" s="196" t="s">
        <v>166</v>
      </c>
      <c r="E103" s="34"/>
      <c r="F103" s="34"/>
      <c r="G103" s="79"/>
      <c r="H103" s="35"/>
    </row>
    <row r="104" spans="2:8" s="17" customFormat="1" ht="6" customHeight="1" x14ac:dyDescent="0.25">
      <c r="B104" s="189"/>
      <c r="C104"/>
      <c r="D104" s="36"/>
      <c r="E104" s="37"/>
      <c r="F104" s="37"/>
      <c r="G104" s="37"/>
      <c r="H104" s="39"/>
    </row>
    <row r="105" spans="2:8" s="17" customFormat="1" ht="15.75" customHeight="1" x14ac:dyDescent="0.25">
      <c r="B105" s="189"/>
      <c r="C105"/>
      <c r="D105" s="33" t="s">
        <v>9</v>
      </c>
      <c r="E105" s="34"/>
      <c r="F105" s="34"/>
      <c r="G105" s="34"/>
      <c r="H105" s="45">
        <f>IF(J$6="Monthly",VLOOKUP($J$7,$B$234:$F$243,5,FALSE),VLOOKUP($J$7,$B$234:$F$243,5,FALSE)*2)</f>
        <v>65.430000000000007</v>
      </c>
    </row>
    <row r="106" spans="2:8" s="17" customFormat="1" ht="15.75" customHeight="1" x14ac:dyDescent="0.25">
      <c r="B106" s="189"/>
      <c r="C106"/>
      <c r="D106" s="78" t="str">
        <f>+D103</f>
        <v>Effective 1/1/30</v>
      </c>
      <c r="E106" s="34"/>
      <c r="F106" s="34"/>
      <c r="G106" s="34"/>
      <c r="H106" s="35"/>
    </row>
    <row r="107" spans="2:8" s="17" customFormat="1" ht="6" customHeight="1" x14ac:dyDescent="0.25">
      <c r="B107" s="189"/>
      <c r="C107"/>
      <c r="D107" s="36"/>
      <c r="E107" s="37"/>
      <c r="F107" s="37"/>
      <c r="G107" s="37"/>
      <c r="H107" s="39"/>
    </row>
    <row r="108" spans="2:8" s="17" customFormat="1" ht="15.75" customHeight="1" x14ac:dyDescent="0.25">
      <c r="B108" s="189"/>
      <c r="C108"/>
      <c r="D108" s="33" t="s">
        <v>32</v>
      </c>
      <c r="E108" s="34"/>
      <c r="F108" s="34"/>
      <c r="G108" s="34"/>
      <c r="H108" s="41">
        <f>IF(J$6="Monthly",VLOOKUP($J$7,$E$187:$F$196,2,FALSE),VLOOKUP($J$7,$E$187:$F$196,2,FALSE)*2)</f>
        <v>4.55</v>
      </c>
    </row>
    <row r="109" spans="2:8" s="17" customFormat="1" ht="15.75" customHeight="1" x14ac:dyDescent="0.25">
      <c r="B109" s="189"/>
      <c r="C109"/>
      <c r="D109" s="192" t="s">
        <v>149</v>
      </c>
      <c r="E109" s="34"/>
      <c r="F109" s="34"/>
      <c r="G109" s="34"/>
      <c r="H109" s="35"/>
    </row>
    <row r="110" spans="2:8" s="17" customFormat="1" ht="6" customHeight="1" x14ac:dyDescent="0.25">
      <c r="B110" s="189"/>
      <c r="C110"/>
      <c r="D110" s="36"/>
      <c r="E110" s="37"/>
      <c r="F110" s="37"/>
      <c r="G110" s="37"/>
      <c r="H110" s="39"/>
    </row>
    <row r="111" spans="2:8" s="17" customFormat="1" ht="15.75" customHeight="1" x14ac:dyDescent="0.25">
      <c r="B111" s="189"/>
      <c r="C111"/>
      <c r="D111" s="175" t="s">
        <v>151</v>
      </c>
      <c r="E111" s="38"/>
      <c r="F111" s="38"/>
      <c r="G111" s="38"/>
      <c r="H111" s="40"/>
    </row>
    <row r="112" spans="2:8" s="17" customFormat="1" ht="15.75" customHeight="1" x14ac:dyDescent="0.25">
      <c r="B112" s="189"/>
      <c r="C112"/>
      <c r="D112" s="78" t="str">
        <f>+D106</f>
        <v>Effective 1/1/30</v>
      </c>
      <c r="E112" s="34"/>
      <c r="F112" s="34"/>
      <c r="G112" s="34"/>
      <c r="H112" s="181">
        <f>IF(J$6="Monthly",VLOOKUP($J$8,$B$246:$F$256,5,FALSE),VLOOKUP($J$8,$B$246:$F$256,5,FALSE)*2)</f>
        <v>0</v>
      </c>
    </row>
    <row r="113" spans="2:8" s="17" customFormat="1" ht="6" customHeight="1" x14ac:dyDescent="0.25">
      <c r="B113" s="189"/>
      <c r="C113"/>
      <c r="D113" s="36"/>
      <c r="E113" s="37"/>
      <c r="F113" s="37"/>
      <c r="G113" s="37"/>
      <c r="H113" s="39"/>
    </row>
    <row r="114" spans="2:8" s="17" customFormat="1" ht="6" customHeight="1" x14ac:dyDescent="0.25">
      <c r="B114" s="189"/>
      <c r="C114"/>
      <c r="D114" s="31"/>
      <c r="E114" s="38"/>
      <c r="F114" s="38"/>
      <c r="G114" s="38"/>
      <c r="H114" s="40"/>
    </row>
    <row r="115" spans="2:8" s="17" customFormat="1" ht="15.75" customHeight="1" thickBot="1" x14ac:dyDescent="0.3">
      <c r="B115"/>
      <c r="C115"/>
      <c r="D115" s="190" t="s">
        <v>160</v>
      </c>
      <c r="E115" s="135"/>
      <c r="F115" s="135"/>
      <c r="G115" s="135"/>
      <c r="H115" s="136">
        <f>H105+H102+H108+H112</f>
        <v>166.10000000000002</v>
      </c>
    </row>
    <row r="116" spans="2:8" s="17" customFormat="1" x14ac:dyDescent="0.2"/>
    <row r="117" spans="2:8" s="17" customFormat="1" x14ac:dyDescent="0.2"/>
    <row r="118" spans="2:8" s="17" customFormat="1" x14ac:dyDescent="0.2"/>
    <row r="119" spans="2:8" s="17" customFormat="1" x14ac:dyDescent="0.2"/>
    <row r="120" spans="2:8" s="17" customFormat="1" x14ac:dyDescent="0.2"/>
    <row r="121" spans="2:8" s="17" customFormat="1" x14ac:dyDescent="0.2"/>
    <row r="122" spans="2:8" s="17" customFormat="1" x14ac:dyDescent="0.2"/>
    <row r="123" spans="2:8" s="17" customFormat="1" x14ac:dyDescent="0.2"/>
    <row r="124" spans="2:8" s="17" customFormat="1" x14ac:dyDescent="0.2"/>
    <row r="125" spans="2:8" s="17" customFormat="1" x14ac:dyDescent="0.2"/>
    <row r="126" spans="2:8" s="17" customFormat="1" x14ac:dyDescent="0.2"/>
    <row r="127" spans="2:8" s="17" customFormat="1" x14ac:dyDescent="0.2"/>
    <row r="128" spans="2:8" s="17" customFormat="1" x14ac:dyDescent="0.2"/>
    <row r="129" spans="7:9" s="17" customFormat="1" x14ac:dyDescent="0.2"/>
    <row r="130" spans="7:9" s="17" customFormat="1" x14ac:dyDescent="0.2"/>
    <row r="131" spans="7:9" s="17" customFormat="1" x14ac:dyDescent="0.2"/>
    <row r="132" spans="7:9" s="17" customFormat="1" x14ac:dyDescent="0.2"/>
    <row r="133" spans="7:9" s="17" customFormat="1" x14ac:dyDescent="0.2"/>
    <row r="134" spans="7:9" s="17" customFormat="1" x14ac:dyDescent="0.2"/>
    <row r="135" spans="7:9" s="17" customFormat="1" x14ac:dyDescent="0.2">
      <c r="I135" s="24"/>
    </row>
    <row r="136" spans="7:9" s="17" customFormat="1" x14ac:dyDescent="0.2"/>
    <row r="137" spans="7:9" s="17" customFormat="1" x14ac:dyDescent="0.2"/>
    <row r="138" spans="7:9" s="17" customFormat="1" x14ac:dyDescent="0.2">
      <c r="G138" s="16"/>
      <c r="H138" s="16"/>
      <c r="I138" s="16"/>
    </row>
    <row r="139" spans="7:9" s="17" customFormat="1" x14ac:dyDescent="0.2">
      <c r="I139" s="16"/>
    </row>
    <row r="140" spans="7:9" s="16" customFormat="1" x14ac:dyDescent="0.2"/>
    <row r="141" spans="7:9" s="17" customFormat="1" x14ac:dyDescent="0.2"/>
    <row r="142" spans="7:9" s="17" customFormat="1" x14ac:dyDescent="0.2"/>
    <row r="143" spans="7:9" s="17" customFormat="1" x14ac:dyDescent="0.2"/>
    <row r="144" spans="7:9" s="17" customFormat="1" x14ac:dyDescent="0.2"/>
    <row r="145" s="17" customFormat="1" x14ac:dyDescent="0.2"/>
    <row r="146" s="17" customFormat="1" x14ac:dyDescent="0.2"/>
    <row r="147" s="17" customFormat="1" x14ac:dyDescent="0.2"/>
    <row r="148" s="15" customFormat="1" x14ac:dyDescent="0.2"/>
    <row r="149" s="15" customFormat="1" x14ac:dyDescent="0.2"/>
    <row r="150" s="15" customFormat="1" x14ac:dyDescent="0.2"/>
    <row r="151" s="15" customFormat="1" x14ac:dyDescent="0.2"/>
    <row r="152" s="15" customFormat="1" x14ac:dyDescent="0.2"/>
    <row r="153" s="15" customFormat="1" x14ac:dyDescent="0.2"/>
    <row r="154" s="15" customFormat="1" x14ac:dyDescent="0.2"/>
    <row r="155" s="15" customFormat="1" x14ac:dyDescent="0.2"/>
    <row r="156" s="15" customFormat="1" x14ac:dyDescent="0.2"/>
    <row r="157" s="15" customFormat="1" x14ac:dyDescent="0.2"/>
    <row r="158" s="15" customFormat="1" x14ac:dyDescent="0.2"/>
    <row r="159" s="15" customFormat="1" x14ac:dyDescent="0.2"/>
    <row r="160" s="14" customFormat="1" hidden="1" x14ac:dyDescent="0.2"/>
    <row r="161" spans="1:7" s="25" customFormat="1" ht="15.75" hidden="1" customHeight="1" x14ac:dyDescent="0.25">
      <c r="A161" s="207" t="s">
        <v>10</v>
      </c>
      <c r="B161" s="207"/>
      <c r="C161" s="207"/>
      <c r="D161" s="207"/>
      <c r="E161" s="207"/>
      <c r="F161" s="207"/>
      <c r="G161" s="207"/>
    </row>
    <row r="162" spans="1:7" s="17" customFormat="1" hidden="1" x14ac:dyDescent="0.2">
      <c r="A162" s="16"/>
      <c r="B162" s="16"/>
      <c r="C162" s="16"/>
    </row>
    <row r="163" spans="1:7" s="17" customFormat="1" hidden="1" x14ac:dyDescent="0.2">
      <c r="A163" s="203" t="s">
        <v>11</v>
      </c>
      <c r="B163" s="203"/>
      <c r="C163" s="203"/>
      <c r="D163" s="203"/>
      <c r="E163" s="203"/>
      <c r="F163" s="203"/>
    </row>
    <row r="164" spans="1:7" s="17" customFormat="1" hidden="1" x14ac:dyDescent="0.2">
      <c r="A164" s="17" t="s">
        <v>12</v>
      </c>
      <c r="F164" s="24"/>
    </row>
    <row r="165" spans="1:7" s="17" customFormat="1" hidden="1" x14ac:dyDescent="0.2">
      <c r="A165" s="17" t="s">
        <v>73</v>
      </c>
      <c r="F165" s="26">
        <f>H30</f>
        <v>143.29000000000002</v>
      </c>
    </row>
    <row r="166" spans="1:7" s="17" customFormat="1" hidden="1" x14ac:dyDescent="0.2">
      <c r="A166" s="16"/>
      <c r="B166" s="16"/>
      <c r="C166" s="16"/>
    </row>
    <row r="167" spans="1:7" s="17" customFormat="1" hidden="1" x14ac:dyDescent="0.2"/>
    <row r="168" spans="1:7" s="17" customFormat="1" hidden="1" x14ac:dyDescent="0.2">
      <c r="A168" s="206" t="s">
        <v>13</v>
      </c>
      <c r="B168" s="206"/>
      <c r="C168" s="206"/>
      <c r="D168" s="206"/>
      <c r="E168" s="206"/>
      <c r="F168" s="206"/>
    </row>
    <row r="169" spans="1:7" s="17" customFormat="1" hidden="1" x14ac:dyDescent="0.2">
      <c r="A169" s="16" t="s">
        <v>14</v>
      </c>
      <c r="B169" s="16"/>
    </row>
    <row r="170" spans="1:7" s="17" customFormat="1" ht="15" hidden="1" x14ac:dyDescent="0.2">
      <c r="A170" s="172" t="s">
        <v>154</v>
      </c>
      <c r="B170" s="27"/>
    </row>
    <row r="171" spans="1:7" s="17" customFormat="1" ht="15" hidden="1" x14ac:dyDescent="0.2">
      <c r="A171" s="172" t="s">
        <v>15</v>
      </c>
      <c r="B171" s="27"/>
    </row>
    <row r="172" spans="1:7" s="17" customFormat="1" ht="15" hidden="1" x14ac:dyDescent="0.2">
      <c r="A172" s="184" t="s">
        <v>155</v>
      </c>
      <c r="B172" s="27"/>
    </row>
    <row r="173" spans="1:7" s="17" customFormat="1" ht="15" hidden="1" x14ac:dyDescent="0.2">
      <c r="A173" s="172" t="s">
        <v>16</v>
      </c>
      <c r="B173" s="27"/>
    </row>
    <row r="174" spans="1:7" s="17" customFormat="1" ht="15" hidden="1" x14ac:dyDescent="0.2">
      <c r="A174" s="172" t="s">
        <v>17</v>
      </c>
      <c r="B174" s="27"/>
    </row>
    <row r="175" spans="1:7" s="17" customFormat="1" ht="15" hidden="1" x14ac:dyDescent="0.2">
      <c r="A175" s="172" t="s">
        <v>18</v>
      </c>
      <c r="B175" s="27"/>
    </row>
    <row r="176" spans="1:7" s="17" customFormat="1" ht="15" hidden="1" x14ac:dyDescent="0.2">
      <c r="A176" s="172" t="s">
        <v>19</v>
      </c>
      <c r="B176" s="27"/>
    </row>
    <row r="177" spans="1:8" s="17" customFormat="1" ht="15" hidden="1" x14ac:dyDescent="0.2">
      <c r="A177" s="172" t="s">
        <v>20</v>
      </c>
      <c r="B177" s="27"/>
    </row>
    <row r="178" spans="1:8" s="17" customFormat="1" ht="15" hidden="1" x14ac:dyDescent="0.2">
      <c r="A178" s="172" t="s">
        <v>21</v>
      </c>
      <c r="B178" s="27"/>
    </row>
    <row r="179" spans="1:8" s="17" customFormat="1" ht="15" hidden="1" x14ac:dyDescent="0.2">
      <c r="A179" s="172" t="s">
        <v>22</v>
      </c>
      <c r="B179" s="27"/>
    </row>
    <row r="180" spans="1:8" s="17" customFormat="1" ht="15" hidden="1" x14ac:dyDescent="0.2">
      <c r="A180" s="172" t="s">
        <v>23</v>
      </c>
      <c r="B180" s="27"/>
    </row>
    <row r="181" spans="1:8" s="17" customFormat="1" hidden="1" x14ac:dyDescent="0.2"/>
    <row r="182" spans="1:8" s="17" customFormat="1" hidden="1" x14ac:dyDescent="0.2"/>
    <row r="183" spans="1:8" s="17" customFormat="1" ht="40.5" hidden="1" customHeight="1" x14ac:dyDescent="0.2">
      <c r="A183" s="16"/>
      <c r="B183" s="16"/>
      <c r="C183" s="16"/>
      <c r="D183" s="28"/>
      <c r="E183" s="205" t="str">
        <f>Rates!H4</f>
        <v>EMERGENCY WATER STORAGE FEE                          AS OF 1/1/26</v>
      </c>
      <c r="F183" s="205"/>
      <c r="G183" s="28"/>
      <c r="H183" s="28"/>
    </row>
    <row r="184" spans="1:8" s="17" customFormat="1" hidden="1" x14ac:dyDescent="0.2">
      <c r="A184" s="203"/>
      <c r="B184" s="203"/>
      <c r="E184" s="204" t="s">
        <v>44</v>
      </c>
      <c r="F184" s="204"/>
    </row>
    <row r="185" spans="1:8" s="17" customFormat="1" hidden="1" x14ac:dyDescent="0.2">
      <c r="A185" s="16"/>
      <c r="B185" s="16"/>
      <c r="E185" s="204" t="s">
        <v>24</v>
      </c>
      <c r="F185" s="204"/>
    </row>
    <row r="186" spans="1:8" s="17" customFormat="1" hidden="1" x14ac:dyDescent="0.2">
      <c r="E186" s="42" t="s">
        <v>14</v>
      </c>
      <c r="F186" s="42" t="s">
        <v>4</v>
      </c>
    </row>
    <row r="187" spans="1:8" s="17" customFormat="1" hidden="1" x14ac:dyDescent="0.2">
      <c r="E187" s="43" t="s">
        <v>15</v>
      </c>
      <c r="F187" s="91">
        <f>Rates!H8</f>
        <v>4.55</v>
      </c>
    </row>
    <row r="188" spans="1:8" s="17" customFormat="1" hidden="1" x14ac:dyDescent="0.2">
      <c r="A188" s="16"/>
      <c r="B188" s="16"/>
      <c r="E188" s="43" t="s">
        <v>155</v>
      </c>
      <c r="F188" s="91">
        <f>Rates!H9</f>
        <v>4.55</v>
      </c>
    </row>
    <row r="189" spans="1:8" s="17" customFormat="1" hidden="1" x14ac:dyDescent="0.2">
      <c r="A189" s="28"/>
      <c r="B189" s="28"/>
      <c r="D189" s="28"/>
      <c r="E189" s="43" t="s">
        <v>16</v>
      </c>
      <c r="F189" s="91">
        <f>Rates!H10</f>
        <v>7.28</v>
      </c>
    </row>
    <row r="190" spans="1:8" s="17" customFormat="1" hidden="1" x14ac:dyDescent="0.2">
      <c r="B190" s="29"/>
      <c r="D190" s="30"/>
      <c r="E190" s="43" t="s">
        <v>17</v>
      </c>
      <c r="F190" s="91">
        <f>Rates!H11</f>
        <v>13.65</v>
      </c>
    </row>
    <row r="191" spans="1:8" s="17" customFormat="1" hidden="1" x14ac:dyDescent="0.2">
      <c r="B191" s="24"/>
      <c r="D191" s="30"/>
      <c r="E191" s="43" t="s">
        <v>18</v>
      </c>
      <c r="F191" s="91">
        <f>Rates!H12</f>
        <v>23.66</v>
      </c>
    </row>
    <row r="192" spans="1:8" s="17" customFormat="1" hidden="1" x14ac:dyDescent="0.2">
      <c r="B192" s="24"/>
      <c r="D192" s="30"/>
      <c r="E192" s="43" t="s">
        <v>19</v>
      </c>
      <c r="F192" s="91">
        <f>Rates!H13</f>
        <v>43.68</v>
      </c>
    </row>
    <row r="193" spans="1:11" s="17" customFormat="1" hidden="1" x14ac:dyDescent="0.2">
      <c r="B193" s="24"/>
      <c r="D193" s="30"/>
      <c r="E193" s="43" t="s">
        <v>20</v>
      </c>
      <c r="F193" s="91">
        <f>Rates!H14</f>
        <v>74.62</v>
      </c>
    </row>
    <row r="194" spans="1:11" s="17" customFormat="1" hidden="1" x14ac:dyDescent="0.2">
      <c r="B194" s="24"/>
      <c r="D194" s="30"/>
      <c r="E194" s="43" t="s">
        <v>21</v>
      </c>
      <c r="F194" s="91">
        <f>Rates!H15</f>
        <v>136.5</v>
      </c>
    </row>
    <row r="195" spans="1:11" s="17" customFormat="1" hidden="1" x14ac:dyDescent="0.2">
      <c r="B195" s="24"/>
      <c r="D195" s="30"/>
      <c r="E195" s="43" t="s">
        <v>22</v>
      </c>
      <c r="F195" s="91">
        <f>Rates!H16</f>
        <v>236.6</v>
      </c>
    </row>
    <row r="196" spans="1:11" s="17" customFormat="1" hidden="1" x14ac:dyDescent="0.2">
      <c r="B196" s="24"/>
      <c r="D196" s="30"/>
      <c r="E196" s="43" t="s">
        <v>23</v>
      </c>
      <c r="F196" s="91">
        <f>Rates!H17</f>
        <v>354.9</v>
      </c>
    </row>
    <row r="197" spans="1:11" s="17" customFormat="1" hidden="1" x14ac:dyDescent="0.2">
      <c r="B197" s="24"/>
      <c r="D197" s="30"/>
    </row>
    <row r="198" spans="1:11" s="17" customFormat="1" hidden="1" x14ac:dyDescent="0.2">
      <c r="B198" s="24"/>
      <c r="D198" s="30"/>
    </row>
    <row r="199" spans="1:11" s="17" customFormat="1" hidden="1" x14ac:dyDescent="0.2">
      <c r="B199" s="24"/>
      <c r="D199" s="30"/>
    </row>
    <row r="200" spans="1:11" s="17" customFormat="1" hidden="1" x14ac:dyDescent="0.2">
      <c r="B200" s="24"/>
      <c r="D200" s="30"/>
    </row>
    <row r="201" spans="1:11" s="17" customFormat="1" hidden="1" x14ac:dyDescent="0.2">
      <c r="C201" s="24"/>
      <c r="D201" s="30"/>
    </row>
    <row r="202" spans="1:11" s="17" customFormat="1" hidden="1" x14ac:dyDescent="0.2">
      <c r="A202" s="5" t="s">
        <v>71</v>
      </c>
    </row>
    <row r="203" spans="1:11" s="17" customFormat="1" hidden="1" x14ac:dyDescent="0.2">
      <c r="A203" s="22" t="str">
        <f>Rates!B4</f>
        <v>SERVICE CHARGE AS OF 1/1/26        LOCKED METERS ARE BILLED AT 1/4 OF THE SERVICE CHARGE</v>
      </c>
      <c r="B203" s="16"/>
      <c r="C203" s="16"/>
      <c r="D203" s="16" t="str">
        <f>Rates!J23</f>
        <v>WATER USAGE CHARGE</v>
      </c>
      <c r="E203" s="16"/>
      <c r="F203" s="16" t="str">
        <f>Rates!J24</f>
        <v>AS OF 1/1/26</v>
      </c>
    </row>
    <row r="204" spans="1:11" s="17" customFormat="1" hidden="1" x14ac:dyDescent="0.2">
      <c r="A204" s="211" t="s">
        <v>45</v>
      </c>
      <c r="B204" s="211"/>
      <c r="D204" s="203" t="s">
        <v>27</v>
      </c>
      <c r="E204" s="203"/>
      <c r="F204" s="203"/>
      <c r="H204" s="203" t="s">
        <v>28</v>
      </c>
      <c r="I204" s="203"/>
      <c r="J204" s="203"/>
    </row>
    <row r="205" spans="1:11" s="17" customFormat="1" hidden="1" x14ac:dyDescent="0.2">
      <c r="A205" s="22" t="s">
        <v>14</v>
      </c>
      <c r="B205" s="16" t="s">
        <v>4</v>
      </c>
      <c r="D205" s="46" t="s">
        <v>14</v>
      </c>
      <c r="E205" s="47" t="s">
        <v>5</v>
      </c>
      <c r="F205" s="47" t="s">
        <v>6</v>
      </c>
      <c r="G205" s="173"/>
      <c r="H205" s="46" t="s">
        <v>14</v>
      </c>
      <c r="I205" s="47" t="s">
        <v>5</v>
      </c>
      <c r="J205" s="47" t="s">
        <v>6</v>
      </c>
      <c r="K205" s="174"/>
    </row>
    <row r="206" spans="1:11" s="17" customFormat="1" hidden="1" x14ac:dyDescent="0.2">
      <c r="A206" s="44" t="s">
        <v>15</v>
      </c>
      <c r="B206" s="92">
        <f>Rates!D8</f>
        <v>39.799999999999997</v>
      </c>
      <c r="D206" s="48" t="s">
        <v>15</v>
      </c>
      <c r="E206" s="49">
        <v>4</v>
      </c>
      <c r="F206" s="49">
        <v>42</v>
      </c>
      <c r="G206" s="46"/>
      <c r="H206" s="48" t="s">
        <v>15</v>
      </c>
      <c r="I206" s="49">
        <f>E206*2</f>
        <v>8</v>
      </c>
      <c r="J206" s="49">
        <f>F206*2</f>
        <v>84</v>
      </c>
    </row>
    <row r="207" spans="1:11" s="17" customFormat="1" hidden="1" x14ac:dyDescent="0.2">
      <c r="A207" s="44" t="s">
        <v>155</v>
      </c>
      <c r="B207" s="92">
        <f>Rates!D9</f>
        <v>55.94</v>
      </c>
      <c r="D207" s="48" t="s">
        <v>155</v>
      </c>
      <c r="E207" s="49">
        <v>6</v>
      </c>
      <c r="F207" s="49">
        <v>60</v>
      </c>
      <c r="G207" s="46"/>
      <c r="H207" s="48" t="s">
        <v>155</v>
      </c>
      <c r="I207" s="49">
        <f t="shared" ref="I207:I215" si="0">E207*2</f>
        <v>12</v>
      </c>
      <c r="J207" s="49">
        <f t="shared" ref="J207:J215" si="1">F207*2</f>
        <v>120</v>
      </c>
    </row>
    <row r="208" spans="1:11" s="17" customFormat="1" hidden="1" x14ac:dyDescent="0.2">
      <c r="A208" s="44" t="s">
        <v>16</v>
      </c>
      <c r="B208" s="92">
        <f>Rates!D10</f>
        <v>88.22</v>
      </c>
      <c r="D208" s="48" t="s">
        <v>16</v>
      </c>
      <c r="E208" s="49">
        <v>15</v>
      </c>
      <c r="F208" s="49">
        <v>150</v>
      </c>
      <c r="G208" s="46"/>
      <c r="H208" s="48" t="s">
        <v>16</v>
      </c>
      <c r="I208" s="49">
        <f t="shared" si="0"/>
        <v>30</v>
      </c>
      <c r="J208" s="49">
        <f t="shared" si="1"/>
        <v>300</v>
      </c>
    </row>
    <row r="209" spans="1:10" s="17" customFormat="1" hidden="1" x14ac:dyDescent="0.2">
      <c r="A209" s="44" t="s">
        <v>17</v>
      </c>
      <c r="B209" s="92">
        <f>Rates!D11</f>
        <v>168.91</v>
      </c>
      <c r="D209" s="48" t="s">
        <v>17</v>
      </c>
      <c r="E209" s="49">
        <v>30</v>
      </c>
      <c r="F209" s="49">
        <v>300</v>
      </c>
      <c r="G209" s="46"/>
      <c r="H209" s="48" t="s">
        <v>17</v>
      </c>
      <c r="I209" s="49">
        <f t="shared" si="0"/>
        <v>60</v>
      </c>
      <c r="J209" s="49">
        <f t="shared" si="1"/>
        <v>600</v>
      </c>
    </row>
    <row r="210" spans="1:10" s="17" customFormat="1" hidden="1" x14ac:dyDescent="0.2">
      <c r="A210" s="44" t="s">
        <v>18</v>
      </c>
      <c r="B210" s="92">
        <f>Rates!D12</f>
        <v>265.75</v>
      </c>
      <c r="D210" s="48" t="s">
        <v>18</v>
      </c>
      <c r="E210" s="49">
        <v>48</v>
      </c>
      <c r="F210" s="49">
        <v>480</v>
      </c>
      <c r="G210" s="46"/>
      <c r="H210" s="48" t="s">
        <v>18</v>
      </c>
      <c r="I210" s="49">
        <f t="shared" si="0"/>
        <v>96</v>
      </c>
      <c r="J210" s="49">
        <f t="shared" si="1"/>
        <v>960</v>
      </c>
    </row>
    <row r="211" spans="1:10" s="17" customFormat="1" hidden="1" x14ac:dyDescent="0.2">
      <c r="A211" s="44" t="s">
        <v>19</v>
      </c>
      <c r="B211" s="92">
        <f>Rates!D13</f>
        <v>523.98</v>
      </c>
      <c r="D211" s="48" t="s">
        <v>19</v>
      </c>
      <c r="E211" s="49">
        <v>96</v>
      </c>
      <c r="F211" s="49">
        <v>960</v>
      </c>
      <c r="G211" s="46"/>
      <c r="H211" s="48" t="s">
        <v>19</v>
      </c>
      <c r="I211" s="49">
        <f t="shared" si="0"/>
        <v>192</v>
      </c>
      <c r="J211" s="49">
        <f t="shared" si="1"/>
        <v>1920</v>
      </c>
    </row>
    <row r="212" spans="1:10" s="17" customFormat="1" hidden="1" x14ac:dyDescent="0.2">
      <c r="A212" s="44" t="s">
        <v>20</v>
      </c>
      <c r="B212" s="92">
        <f>Rates!D14</f>
        <v>814.49</v>
      </c>
      <c r="D212" s="48" t="s">
        <v>20</v>
      </c>
      <c r="E212" s="49">
        <v>150</v>
      </c>
      <c r="F212" s="49">
        <v>1500</v>
      </c>
      <c r="G212" s="46"/>
      <c r="H212" s="48" t="s">
        <v>20</v>
      </c>
      <c r="I212" s="49">
        <f t="shared" si="0"/>
        <v>300</v>
      </c>
      <c r="J212" s="49">
        <f t="shared" si="1"/>
        <v>3000</v>
      </c>
    </row>
    <row r="213" spans="1:10" s="17" customFormat="1" hidden="1" x14ac:dyDescent="0.2">
      <c r="A213" s="44" t="s">
        <v>21</v>
      </c>
      <c r="B213" s="92">
        <f>Rates!D15</f>
        <v>1621.47</v>
      </c>
      <c r="D213" s="48" t="s">
        <v>21</v>
      </c>
      <c r="E213" s="49">
        <v>300</v>
      </c>
      <c r="F213" s="49">
        <v>3000</v>
      </c>
      <c r="G213" s="46"/>
      <c r="H213" s="48" t="s">
        <v>21</v>
      </c>
      <c r="I213" s="49">
        <f t="shared" si="0"/>
        <v>600</v>
      </c>
      <c r="J213" s="49">
        <f t="shared" si="1"/>
        <v>6000</v>
      </c>
    </row>
    <row r="214" spans="1:10" s="17" customFormat="1" hidden="1" x14ac:dyDescent="0.2">
      <c r="A214" s="44" t="s">
        <v>22</v>
      </c>
      <c r="B214" s="92">
        <f>Rates!D16</f>
        <v>2589.84</v>
      </c>
      <c r="D214" s="48" t="s">
        <v>22</v>
      </c>
      <c r="E214" s="49">
        <v>480</v>
      </c>
      <c r="F214" s="49">
        <v>4800</v>
      </c>
      <c r="G214" s="46"/>
      <c r="H214" s="48" t="s">
        <v>22</v>
      </c>
      <c r="I214" s="49">
        <f t="shared" si="0"/>
        <v>960</v>
      </c>
      <c r="J214" s="49">
        <f t="shared" si="1"/>
        <v>9600</v>
      </c>
    </row>
    <row r="215" spans="1:10" s="17" customFormat="1" hidden="1" x14ac:dyDescent="0.2">
      <c r="A215" s="44" t="s">
        <v>23</v>
      </c>
      <c r="B215" s="92">
        <f>Rates!D17</f>
        <v>3719.61</v>
      </c>
      <c r="D215" s="48" t="s">
        <v>23</v>
      </c>
      <c r="E215" s="49">
        <v>690</v>
      </c>
      <c r="F215" s="49">
        <v>6900</v>
      </c>
      <c r="G215" s="46"/>
      <c r="H215" s="48" t="s">
        <v>23</v>
      </c>
      <c r="I215" s="49">
        <f t="shared" si="0"/>
        <v>1380</v>
      </c>
      <c r="J215" s="49">
        <f t="shared" si="1"/>
        <v>13800</v>
      </c>
    </row>
    <row r="216" spans="1:10" s="17" customFormat="1" hidden="1" x14ac:dyDescent="0.2"/>
    <row r="217" spans="1:10" s="17" customFormat="1" hidden="1" x14ac:dyDescent="0.2">
      <c r="A217" s="180" t="s">
        <v>150</v>
      </c>
    </row>
    <row r="218" spans="1:10" s="17" customFormat="1" hidden="1" x14ac:dyDescent="0.2">
      <c r="A218" s="180" t="s">
        <v>154</v>
      </c>
      <c r="B218" s="17">
        <v>0</v>
      </c>
    </row>
    <row r="219" spans="1:10" s="17" customFormat="1" hidden="1" x14ac:dyDescent="0.2">
      <c r="A219" s="44" t="s">
        <v>15</v>
      </c>
      <c r="B219" s="17">
        <v>0</v>
      </c>
    </row>
    <row r="220" spans="1:10" s="17" customFormat="1" hidden="1" x14ac:dyDescent="0.2">
      <c r="A220" s="44" t="s">
        <v>155</v>
      </c>
      <c r="B220" s="17">
        <v>0</v>
      </c>
    </row>
    <row r="221" spans="1:10" s="17" customFormat="1" hidden="1" x14ac:dyDescent="0.2">
      <c r="A221" s="44" t="s">
        <v>16</v>
      </c>
      <c r="B221" s="17">
        <v>0</v>
      </c>
    </row>
    <row r="222" spans="1:10" s="17" customFormat="1" hidden="1" x14ac:dyDescent="0.2">
      <c r="A222" s="44" t="s">
        <v>17</v>
      </c>
      <c r="B222" s="17">
        <v>0</v>
      </c>
    </row>
    <row r="223" spans="1:10" s="17" customFormat="1" hidden="1" x14ac:dyDescent="0.2">
      <c r="A223" s="44" t="s">
        <v>18</v>
      </c>
      <c r="B223" s="17">
        <v>0</v>
      </c>
    </row>
    <row r="224" spans="1:10" s="17" customFormat="1" hidden="1" x14ac:dyDescent="0.2">
      <c r="A224" s="44" t="s">
        <v>19</v>
      </c>
      <c r="B224" s="17">
        <v>0</v>
      </c>
    </row>
    <row r="225" spans="1:6" s="17" customFormat="1" hidden="1" x14ac:dyDescent="0.2">
      <c r="A225" s="44" t="s">
        <v>20</v>
      </c>
      <c r="B225" s="92">
        <f>+Rates!D19</f>
        <v>7.74</v>
      </c>
    </row>
    <row r="226" spans="1:6" s="17" customFormat="1" hidden="1" x14ac:dyDescent="0.2">
      <c r="A226" s="44" t="s">
        <v>21</v>
      </c>
      <c r="B226" s="92">
        <f>+Rates!D20</f>
        <v>22.47</v>
      </c>
      <c r="D226" s="53" t="s">
        <v>31</v>
      </c>
      <c r="E226" s="53"/>
      <c r="F226" s="53" t="s">
        <v>29</v>
      </c>
    </row>
    <row r="227" spans="1:6" s="17" customFormat="1" hidden="1" x14ac:dyDescent="0.2">
      <c r="A227" s="44" t="s">
        <v>22</v>
      </c>
      <c r="B227" s="92">
        <f>+Rates!D21</f>
        <v>47.88</v>
      </c>
      <c r="D227" s="54">
        <f>IF(+J9&lt;VLOOKUP($J$7,$D$206:$E$215,2,FALSE),J9,VLOOKUP($J$7,$D$206:$E$215,2,FALSE))</f>
        <v>6</v>
      </c>
      <c r="E227" s="53"/>
      <c r="F227" s="54">
        <f>IF(+J9&lt;VLOOKUP($J$7,$H$206:$I$215,2,FALSE),J9,VLOOKUP($J$7,$H$206:$I$215,2,FALSE))</f>
        <v>12</v>
      </c>
    </row>
    <row r="228" spans="1:6" s="17" customFormat="1" hidden="1" x14ac:dyDescent="0.2">
      <c r="A228" s="44" t="s">
        <v>23</v>
      </c>
      <c r="B228" s="92">
        <f>+Rates!D22</f>
        <v>86.11</v>
      </c>
      <c r="D228" s="54">
        <f>IF(+J9&gt;VLOOKUP($J$7,$D$206:$F$215,3,FALSE),VLOOKUP($J$7,$D$206:$F$215,3,FALSE)-VLOOKUP($J$7,$D$206:$E$215,2,FALSE),J9-D227)</f>
        <v>6</v>
      </c>
      <c r="E228" s="53"/>
      <c r="F228" s="54">
        <f>IF(+J9&gt;VLOOKUP($J$7,$H$206:$J$215,3,FALSE),VLOOKUP($J$7,$H$206:$J$215,3,FALSE)-VLOOKUP($J$7,$H$206:$I$215,2,FALSE),+J9-F227)</f>
        <v>0</v>
      </c>
    </row>
    <row r="229" spans="1:6" s="17" customFormat="1" hidden="1" x14ac:dyDescent="0.2">
      <c r="D229" s="55">
        <f>IF(+J9&gt;VLOOKUP($J$7,$D$206:$F$215,3,FALSE),+J9-D228-D227,0)</f>
        <v>0</v>
      </c>
      <c r="E229" s="53"/>
      <c r="F229" s="55">
        <f>IF(+J9&gt;VLOOKUP($J$7,$H$206:$J$215,3,FALSE),+J9-F228-F227,0)</f>
        <v>0</v>
      </c>
    </row>
    <row r="230" spans="1:6" s="17" customFormat="1" hidden="1" x14ac:dyDescent="0.2"/>
    <row r="231" spans="1:6" s="17" customFormat="1" hidden="1" x14ac:dyDescent="0.2"/>
    <row r="232" spans="1:6" s="17" customFormat="1" hidden="1" x14ac:dyDescent="0.2">
      <c r="B232" s="211" t="s">
        <v>45</v>
      </c>
      <c r="C232" s="211"/>
    </row>
    <row r="233" spans="1:6" s="17" customFormat="1" hidden="1" x14ac:dyDescent="0.2">
      <c r="B233" s="22" t="s">
        <v>14</v>
      </c>
      <c r="C233" s="16">
        <v>2027</v>
      </c>
      <c r="D233" s="16">
        <v>2028</v>
      </c>
      <c r="E233" s="16">
        <v>2029</v>
      </c>
      <c r="F233" s="16">
        <v>2030</v>
      </c>
    </row>
    <row r="234" spans="1:6" s="17" customFormat="1" hidden="1" x14ac:dyDescent="0.2">
      <c r="B234" s="44" t="s">
        <v>15</v>
      </c>
      <c r="C234" s="193">
        <v>41.39</v>
      </c>
      <c r="D234" s="17">
        <v>43.04</v>
      </c>
      <c r="E234" s="17">
        <v>44.76</v>
      </c>
      <c r="F234" s="17">
        <v>46.44</v>
      </c>
    </row>
    <row r="235" spans="1:6" s="17" customFormat="1" hidden="1" x14ac:dyDescent="0.2">
      <c r="B235" s="44" t="s">
        <v>155</v>
      </c>
      <c r="C235" s="193">
        <v>58.17</v>
      </c>
      <c r="D235" s="17">
        <v>60.5</v>
      </c>
      <c r="E235" s="17">
        <v>62.92</v>
      </c>
      <c r="F235" s="17">
        <v>65.430000000000007</v>
      </c>
    </row>
    <row r="236" spans="1:6" s="17" customFormat="1" hidden="1" x14ac:dyDescent="0.2">
      <c r="B236" s="44" t="s">
        <v>16</v>
      </c>
      <c r="C236" s="193">
        <v>91.75</v>
      </c>
      <c r="D236" s="17">
        <v>95.42</v>
      </c>
      <c r="E236" s="17">
        <v>99.23</v>
      </c>
      <c r="F236" s="17">
        <v>103.2</v>
      </c>
    </row>
    <row r="237" spans="1:6" s="17" customFormat="1" hidden="1" x14ac:dyDescent="0.2">
      <c r="B237" s="44" t="s">
        <v>17</v>
      </c>
      <c r="C237" s="193">
        <v>175.67</v>
      </c>
      <c r="D237" s="17">
        <v>182.69</v>
      </c>
      <c r="E237" s="17">
        <v>190</v>
      </c>
      <c r="F237" s="17">
        <v>197.6</v>
      </c>
    </row>
    <row r="238" spans="1:6" s="17" customFormat="1" hidden="1" x14ac:dyDescent="0.2">
      <c r="B238" s="44" t="s">
        <v>18</v>
      </c>
      <c r="C238" s="193">
        <v>276.38</v>
      </c>
      <c r="D238" s="17">
        <v>287.44</v>
      </c>
      <c r="E238" s="17">
        <v>298.93</v>
      </c>
      <c r="F238" s="17">
        <v>310.89</v>
      </c>
    </row>
    <row r="239" spans="1:6" s="17" customFormat="1" hidden="1" x14ac:dyDescent="0.2">
      <c r="B239" s="44" t="s">
        <v>19</v>
      </c>
      <c r="C239" s="193">
        <v>544.94000000000005</v>
      </c>
      <c r="D239" s="17">
        <v>566.74</v>
      </c>
      <c r="E239" s="17">
        <v>589.41</v>
      </c>
      <c r="F239" s="17">
        <v>612.99</v>
      </c>
    </row>
    <row r="240" spans="1:6" s="17" customFormat="1" hidden="1" x14ac:dyDescent="0.2">
      <c r="B240" s="44" t="s">
        <v>20</v>
      </c>
      <c r="C240" s="193">
        <v>847.07</v>
      </c>
      <c r="D240" s="17">
        <v>880.96</v>
      </c>
      <c r="E240" s="17">
        <v>916.2</v>
      </c>
      <c r="F240" s="17">
        <v>952.85</v>
      </c>
    </row>
    <row r="241" spans="2:6" s="17" customFormat="1" hidden="1" x14ac:dyDescent="0.2">
      <c r="B241" s="44" t="s">
        <v>21</v>
      </c>
      <c r="C241" s="193">
        <v>1686.33</v>
      </c>
      <c r="D241" s="17">
        <v>1753.79</v>
      </c>
      <c r="E241" s="17">
        <v>1823.94</v>
      </c>
      <c r="F241" s="17">
        <v>1896.89</v>
      </c>
    </row>
    <row r="242" spans="2:6" s="17" customFormat="1" hidden="1" x14ac:dyDescent="0.2">
      <c r="B242" s="44" t="s">
        <v>22</v>
      </c>
      <c r="C242" s="193">
        <v>2693.44</v>
      </c>
      <c r="D242" s="17">
        <v>2801.17</v>
      </c>
      <c r="E242" s="17">
        <v>2913.22</v>
      </c>
      <c r="F242" s="17">
        <v>3029.75</v>
      </c>
    </row>
    <row r="243" spans="2:6" s="17" customFormat="1" hidden="1" x14ac:dyDescent="0.2">
      <c r="B243" s="44" t="s">
        <v>23</v>
      </c>
      <c r="C243" s="193">
        <v>3868.39</v>
      </c>
      <c r="D243" s="17">
        <v>4023.13</v>
      </c>
      <c r="E243" s="17">
        <v>4184.05</v>
      </c>
      <c r="F243" s="17">
        <v>4351.41</v>
      </c>
    </row>
    <row r="244" spans="2:6" s="17" customFormat="1" hidden="1" x14ac:dyDescent="0.2"/>
    <row r="245" spans="2:6" s="17" customFormat="1" hidden="1" x14ac:dyDescent="0.2">
      <c r="B245" s="180" t="s">
        <v>150</v>
      </c>
    </row>
    <row r="246" spans="2:6" s="17" customFormat="1" hidden="1" x14ac:dyDescent="0.2">
      <c r="B246" s="180" t="s">
        <v>154</v>
      </c>
      <c r="C246" s="17">
        <v>0</v>
      </c>
      <c r="D246" s="17">
        <v>0</v>
      </c>
      <c r="E246" s="17">
        <v>0</v>
      </c>
      <c r="F246" s="17">
        <v>0</v>
      </c>
    </row>
    <row r="247" spans="2:6" s="17" customFormat="1" hidden="1" x14ac:dyDescent="0.2">
      <c r="B247" s="44" t="s">
        <v>15</v>
      </c>
      <c r="C247" s="17">
        <v>0</v>
      </c>
      <c r="D247" s="17">
        <v>0</v>
      </c>
      <c r="E247" s="17">
        <v>0</v>
      </c>
      <c r="F247" s="17">
        <v>0</v>
      </c>
    </row>
    <row r="248" spans="2:6" s="17" customFormat="1" hidden="1" x14ac:dyDescent="0.2">
      <c r="B248" s="44" t="s">
        <v>155</v>
      </c>
      <c r="C248" s="17">
        <v>0</v>
      </c>
      <c r="D248" s="17">
        <v>0</v>
      </c>
      <c r="E248" s="17">
        <v>0</v>
      </c>
      <c r="F248" s="17">
        <v>0</v>
      </c>
    </row>
    <row r="249" spans="2:6" s="17" customFormat="1" hidden="1" x14ac:dyDescent="0.2">
      <c r="B249" s="44" t="s">
        <v>16</v>
      </c>
      <c r="C249" s="17">
        <v>0</v>
      </c>
      <c r="D249" s="17">
        <v>0</v>
      </c>
      <c r="E249" s="17">
        <v>0</v>
      </c>
      <c r="F249" s="17">
        <v>0</v>
      </c>
    </row>
    <row r="250" spans="2:6" s="17" customFormat="1" hidden="1" x14ac:dyDescent="0.2">
      <c r="B250" s="44" t="s">
        <v>17</v>
      </c>
      <c r="C250" s="14">
        <v>0</v>
      </c>
      <c r="D250" s="14">
        <v>0</v>
      </c>
      <c r="E250" s="14">
        <v>0</v>
      </c>
      <c r="F250" s="14">
        <v>0</v>
      </c>
    </row>
    <row r="251" spans="2:6" s="17" customFormat="1" hidden="1" x14ac:dyDescent="0.2">
      <c r="B251" s="44" t="s">
        <v>18</v>
      </c>
      <c r="C251" s="14">
        <v>0</v>
      </c>
      <c r="D251" s="14">
        <v>0</v>
      </c>
      <c r="E251" s="14">
        <v>0</v>
      </c>
      <c r="F251" s="14">
        <v>0</v>
      </c>
    </row>
    <row r="252" spans="2:6" s="17" customFormat="1" hidden="1" x14ac:dyDescent="0.2">
      <c r="B252" s="44" t="s">
        <v>19</v>
      </c>
      <c r="C252" s="14">
        <v>0</v>
      </c>
      <c r="D252" s="14">
        <v>0</v>
      </c>
      <c r="E252" s="14">
        <v>0</v>
      </c>
      <c r="F252" s="14">
        <v>0</v>
      </c>
    </row>
    <row r="253" spans="2:6" s="17" customFormat="1" hidden="1" x14ac:dyDescent="0.2">
      <c r="B253" s="44" t="s">
        <v>20</v>
      </c>
      <c r="C253" s="14">
        <v>8.0500000000000007</v>
      </c>
      <c r="D253" s="14">
        <v>8.3699999999999992</v>
      </c>
      <c r="E253" s="14">
        <v>8.6999999999999993</v>
      </c>
      <c r="F253" s="14">
        <v>9.0500000000000007</v>
      </c>
    </row>
    <row r="254" spans="2:6" s="17" customFormat="1" hidden="1" x14ac:dyDescent="0.2">
      <c r="B254" s="44" t="s">
        <v>21</v>
      </c>
      <c r="C254" s="14">
        <v>23.37</v>
      </c>
      <c r="D254" s="14">
        <v>24.31</v>
      </c>
      <c r="E254" s="14">
        <v>25.28</v>
      </c>
      <c r="F254" s="14">
        <v>26.29</v>
      </c>
    </row>
    <row r="255" spans="2:6" s="17" customFormat="1" hidden="1" x14ac:dyDescent="0.2">
      <c r="B255" s="44" t="s">
        <v>22</v>
      </c>
      <c r="C255" s="14">
        <v>49.8</v>
      </c>
      <c r="D255" s="14">
        <v>51.79</v>
      </c>
      <c r="E255" s="14">
        <v>53.86</v>
      </c>
      <c r="F255" s="14">
        <v>56.01</v>
      </c>
    </row>
    <row r="256" spans="2:6" s="17" customFormat="1" hidden="1" x14ac:dyDescent="0.2">
      <c r="B256" s="44" t="s">
        <v>23</v>
      </c>
      <c r="C256" s="14">
        <v>89.55</v>
      </c>
      <c r="D256" s="14">
        <v>93.13</v>
      </c>
      <c r="E256" s="14">
        <v>96.86</v>
      </c>
      <c r="F256" s="14">
        <v>100.73</v>
      </c>
    </row>
    <row r="257" s="17" customFormat="1" hidden="1" x14ac:dyDescent="0.2"/>
    <row r="258" s="17" customFormat="1" hidden="1" x14ac:dyDescent="0.2"/>
    <row r="259" s="17" customFormat="1" hidden="1" x14ac:dyDescent="0.2"/>
    <row r="260" s="17" customFormat="1" hidden="1" x14ac:dyDescent="0.2"/>
    <row r="261" s="17" customFormat="1" hidden="1" x14ac:dyDescent="0.2"/>
    <row r="262" s="17" customFormat="1" hidden="1" x14ac:dyDescent="0.2"/>
    <row r="263" s="17" customFormat="1" hidden="1" x14ac:dyDescent="0.2"/>
    <row r="264" s="17" customFormat="1" hidden="1" x14ac:dyDescent="0.2"/>
    <row r="265" s="17" customFormat="1" hidden="1" x14ac:dyDescent="0.2"/>
    <row r="266" s="17" customFormat="1" hidden="1" x14ac:dyDescent="0.2"/>
    <row r="267" s="17" customFormat="1" hidden="1" x14ac:dyDescent="0.2"/>
    <row r="268" s="17" customFormat="1" hidden="1" x14ac:dyDescent="0.2"/>
    <row r="269" s="17" customFormat="1" hidden="1" x14ac:dyDescent="0.2"/>
    <row r="270" s="17" customFormat="1" hidden="1" x14ac:dyDescent="0.2"/>
    <row r="271" s="17" customFormat="1" hidden="1" x14ac:dyDescent="0.2"/>
    <row r="272" s="17" customFormat="1" hidden="1" x14ac:dyDescent="0.2"/>
    <row r="273" s="17" customFormat="1" hidden="1" x14ac:dyDescent="0.2"/>
    <row r="274" s="17" customFormat="1" hidden="1" x14ac:dyDescent="0.2"/>
    <row r="275" s="17" customFormat="1" hidden="1" x14ac:dyDescent="0.2"/>
    <row r="276" s="17" customFormat="1" hidden="1" x14ac:dyDescent="0.2"/>
    <row r="277" s="17" customFormat="1" hidden="1" x14ac:dyDescent="0.2"/>
    <row r="278" s="17" customFormat="1" hidden="1" x14ac:dyDescent="0.2"/>
    <row r="279" s="17" customFormat="1" hidden="1" x14ac:dyDescent="0.2"/>
    <row r="280" s="17" customFormat="1" hidden="1" x14ac:dyDescent="0.2"/>
    <row r="281" s="17" customFormat="1" hidden="1" x14ac:dyDescent="0.2"/>
    <row r="282" s="17" customFormat="1" hidden="1" x14ac:dyDescent="0.2"/>
    <row r="283" s="17" customFormat="1" hidden="1" x14ac:dyDescent="0.2"/>
    <row r="284" s="17" customFormat="1" hidden="1" x14ac:dyDescent="0.2"/>
    <row r="285" s="17" customFormat="1" hidden="1" x14ac:dyDescent="0.2"/>
    <row r="286" s="17" customFormat="1" hidden="1" x14ac:dyDescent="0.2"/>
    <row r="287" s="17" customFormat="1" hidden="1" x14ac:dyDescent="0.2"/>
    <row r="288" s="17" customFormat="1" hidden="1" x14ac:dyDescent="0.2"/>
    <row r="289" s="17" customFormat="1" hidden="1" x14ac:dyDescent="0.2"/>
    <row r="290" s="17" customFormat="1" hidden="1" x14ac:dyDescent="0.2"/>
    <row r="291" s="17" customFormat="1" hidden="1" x14ac:dyDescent="0.2"/>
    <row r="292" s="17" customFormat="1" hidden="1" x14ac:dyDescent="0.2"/>
    <row r="293" s="17" customFormat="1" hidden="1" x14ac:dyDescent="0.2"/>
    <row r="294" s="17" customFormat="1" hidden="1" x14ac:dyDescent="0.2"/>
    <row r="295" s="17" customFormat="1" hidden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  <row r="304" s="17" customFormat="1" x14ac:dyDescent="0.2"/>
    <row r="305" s="17" customFormat="1" x14ac:dyDescent="0.2"/>
    <row r="306" s="17" customFormat="1" x14ac:dyDescent="0.2"/>
    <row r="307" s="17" customFormat="1" x14ac:dyDescent="0.2"/>
    <row r="308" s="17" customFormat="1" x14ac:dyDescent="0.2"/>
    <row r="309" s="17" customFormat="1" x14ac:dyDescent="0.2"/>
    <row r="310" s="17" customFormat="1" x14ac:dyDescent="0.2"/>
    <row r="311" s="17" customFormat="1" x14ac:dyDescent="0.2"/>
    <row r="312" s="17" customFormat="1" x14ac:dyDescent="0.2"/>
    <row r="313" s="17" customFormat="1" x14ac:dyDescent="0.2"/>
    <row r="314" s="17" customFormat="1" x14ac:dyDescent="0.2"/>
    <row r="315" s="17" customFormat="1" x14ac:dyDescent="0.2"/>
    <row r="316" s="17" customFormat="1" x14ac:dyDescent="0.2"/>
    <row r="317" s="17" customFormat="1" x14ac:dyDescent="0.2"/>
    <row r="318" s="17" customFormat="1" x14ac:dyDescent="0.2"/>
    <row r="319" s="17" customFormat="1" x14ac:dyDescent="0.2"/>
    <row r="320" s="17" customFormat="1" x14ac:dyDescent="0.2"/>
    <row r="321" s="17" customFormat="1" x14ac:dyDescent="0.2"/>
    <row r="322" s="17" customFormat="1" x14ac:dyDescent="0.2"/>
    <row r="323" s="17" customFormat="1" x14ac:dyDescent="0.2"/>
    <row r="324" s="17" customFormat="1" x14ac:dyDescent="0.2"/>
    <row r="325" s="17" customFormat="1" x14ac:dyDescent="0.2"/>
    <row r="326" s="17" customFormat="1" x14ac:dyDescent="0.2"/>
    <row r="327" s="17" customFormat="1" x14ac:dyDescent="0.2"/>
    <row r="328" s="17" customFormat="1" x14ac:dyDescent="0.2"/>
    <row r="329" s="17" customFormat="1" x14ac:dyDescent="0.2"/>
    <row r="330" s="17" customFormat="1" x14ac:dyDescent="0.2"/>
    <row r="331" s="17" customFormat="1" x14ac:dyDescent="0.2"/>
  </sheetData>
  <sheetProtection sheet="1" selectLockedCells="1"/>
  <customSheetViews>
    <customSheetView guid="{EB387EBA-E6E1-47AF-8A69-83D014CFC1B3}" scale="85" showGridLines="0" showRuler="0">
      <selection activeCell="P8" sqref="P8"/>
      <pageMargins left="0.5" right="0.5" top="0.75" bottom="0.75" header="0.5" footer="0.5"/>
      <printOptions horizontalCentered="1"/>
      <pageSetup paperSize="5" scale="70" orientation="landscape" r:id="rId1"/>
      <headerFooter alignWithMargins="0"/>
    </customSheetView>
  </customSheetViews>
  <mergeCells count="19">
    <mergeCell ref="B232:C232"/>
    <mergeCell ref="D54:H54"/>
    <mergeCell ref="D75:H75"/>
    <mergeCell ref="D96:H96"/>
    <mergeCell ref="H204:J204"/>
    <mergeCell ref="A204:B204"/>
    <mergeCell ref="D204:F204"/>
    <mergeCell ref="E185:F185"/>
    <mergeCell ref="B3:J3"/>
    <mergeCell ref="B4:J4"/>
    <mergeCell ref="A184:B184"/>
    <mergeCell ref="E184:F184"/>
    <mergeCell ref="E183:F183"/>
    <mergeCell ref="A163:F163"/>
    <mergeCell ref="A168:F168"/>
    <mergeCell ref="A161:G161"/>
    <mergeCell ref="D11:H11"/>
    <mergeCell ref="B5:J5"/>
    <mergeCell ref="D33:H33"/>
  </mergeCells>
  <phoneticPr fontId="2" type="noConversion"/>
  <dataValidations count="2">
    <dataValidation type="list" allowBlank="1" showInputMessage="1" showErrorMessage="1" sqref="J7:J8" xr:uid="{00000000-0002-0000-0000-000000000000}">
      <formula1>$A$170:$A$180</formula1>
    </dataValidation>
    <dataValidation type="list" allowBlank="1" showInputMessage="1" showErrorMessage="1" sqref="J6" xr:uid="{00000000-0002-0000-0000-000001000000}">
      <formula1>"Monthly, Bi-Monthly"</formula1>
    </dataValidation>
  </dataValidations>
  <printOptions horizontalCentered="1"/>
  <pageMargins left="0" right="0" top="0.75" bottom="0.75" header="0.5" footer="0.5"/>
  <pageSetup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35"/>
  <sheetViews>
    <sheetView workbookViewId="0">
      <pane ySplit="2" topLeftCell="A3" activePane="bottomLeft" state="frozen"/>
      <selection pane="bottomLeft" activeCell="B1" sqref="B1:M34"/>
    </sheetView>
  </sheetViews>
  <sheetFormatPr defaultRowHeight="12.75" x14ac:dyDescent="0.2"/>
  <cols>
    <col min="1" max="1" width="1.7109375" customWidth="1"/>
    <col min="2" max="2" width="14.5703125" customWidth="1"/>
    <col min="3" max="3" width="2.7109375" customWidth="1"/>
    <col min="4" max="4" width="9.5703125" customWidth="1"/>
    <col min="5" max="5" width="2.7109375" customWidth="1"/>
    <col min="6" max="6" width="11.140625" customWidth="1"/>
    <col min="7" max="7" width="2.7109375" customWidth="1"/>
    <col min="8" max="8" width="10.28515625" customWidth="1"/>
    <col min="9" max="9" width="2.7109375" customWidth="1"/>
    <col min="10" max="10" width="14.85546875" customWidth="1"/>
    <col min="11" max="11" width="1" customWidth="1"/>
    <col min="12" max="12" width="26.85546875" customWidth="1"/>
    <col min="13" max="13" width="10.7109375" bestFit="1" customWidth="1"/>
    <col min="14" max="14" width="6.7109375" customWidth="1"/>
    <col min="15" max="15" width="12.42578125" hidden="1" customWidth="1"/>
    <col min="16" max="16" width="11.7109375" hidden="1" customWidth="1"/>
    <col min="17" max="17" width="12.5703125" hidden="1" customWidth="1"/>
    <col min="18" max="18" width="9.5703125" hidden="1" customWidth="1"/>
    <col min="19" max="19" width="13.42578125" hidden="1" customWidth="1"/>
    <col min="20" max="20" width="6.42578125" hidden="1" customWidth="1"/>
    <col min="21" max="22" width="9.140625" customWidth="1"/>
  </cols>
  <sheetData>
    <row r="1" spans="2:21" ht="9.75" customHeight="1" x14ac:dyDescent="0.2">
      <c r="B1" s="228" t="s">
        <v>46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2:21" ht="16.5" customHeight="1" x14ac:dyDescent="0.2"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5"/>
    </row>
    <row r="3" spans="2:21" ht="6" customHeight="1" x14ac:dyDescent="0.2">
      <c r="B3" s="229"/>
      <c r="C3" s="229"/>
      <c r="D3" s="229"/>
      <c r="E3" s="229"/>
      <c r="F3" s="229"/>
      <c r="G3" s="229"/>
      <c r="H3" s="229"/>
      <c r="I3" s="229"/>
      <c r="J3" s="230"/>
      <c r="K3" s="229"/>
      <c r="L3" s="229"/>
      <c r="M3" s="229"/>
    </row>
    <row r="4" spans="2:21" ht="49.5" customHeight="1" x14ac:dyDescent="0.3">
      <c r="B4" s="231" t="s">
        <v>145</v>
      </c>
      <c r="C4" s="232"/>
      <c r="D4" s="232"/>
      <c r="E4" s="232"/>
      <c r="F4" s="233"/>
      <c r="G4" s="234"/>
      <c r="H4" s="231" t="s">
        <v>143</v>
      </c>
      <c r="I4" s="232"/>
      <c r="J4" s="233"/>
      <c r="K4" s="235"/>
      <c r="L4" s="236"/>
      <c r="M4" s="236"/>
      <c r="N4" s="222"/>
      <c r="O4" s="221"/>
      <c r="P4" s="221"/>
      <c r="Q4" s="221"/>
      <c r="R4" s="221"/>
      <c r="S4" s="221"/>
      <c r="T4" s="221"/>
      <c r="U4" s="221"/>
    </row>
    <row r="5" spans="2:21" ht="3" customHeight="1" x14ac:dyDescent="0.2">
      <c r="B5" s="234"/>
      <c r="C5" s="234"/>
      <c r="D5" s="234"/>
      <c r="E5" s="234"/>
      <c r="F5" s="234"/>
      <c r="G5" s="229"/>
      <c r="H5" s="234"/>
      <c r="I5" s="234"/>
      <c r="J5" s="234"/>
      <c r="K5" s="237"/>
      <c r="L5" s="238"/>
      <c r="M5" s="238"/>
      <c r="N5" s="221"/>
      <c r="O5" s="221"/>
      <c r="P5" s="221"/>
      <c r="Q5" s="221"/>
      <c r="R5" s="221"/>
      <c r="S5" s="221"/>
      <c r="T5" s="221"/>
      <c r="U5" s="221"/>
    </row>
    <row r="6" spans="2:21" ht="39.75" customHeight="1" x14ac:dyDescent="0.2">
      <c r="B6" s="239" t="s">
        <v>47</v>
      </c>
      <c r="C6" s="240"/>
      <c r="D6" s="239" t="s">
        <v>48</v>
      </c>
      <c r="E6" s="240"/>
      <c r="F6" s="239" t="s">
        <v>49</v>
      </c>
      <c r="G6" s="241"/>
      <c r="H6" s="239" t="s">
        <v>50</v>
      </c>
      <c r="I6" s="239"/>
      <c r="J6" s="239" t="s">
        <v>51</v>
      </c>
      <c r="K6" s="229"/>
      <c r="L6" s="238"/>
      <c r="M6" s="238"/>
      <c r="N6" s="223"/>
      <c r="O6" s="221"/>
      <c r="P6" s="221"/>
      <c r="Q6" s="221"/>
      <c r="R6" s="221"/>
      <c r="S6" s="221"/>
      <c r="T6" s="221"/>
      <c r="U6" s="221"/>
    </row>
    <row r="7" spans="2:21" ht="5.25" customHeight="1" x14ac:dyDescent="0.2">
      <c r="B7" s="242"/>
      <c r="C7" s="242"/>
      <c r="D7" s="242"/>
      <c r="E7" s="242"/>
      <c r="F7" s="242"/>
      <c r="G7" s="243"/>
      <c r="H7" s="242"/>
      <c r="I7" s="242"/>
      <c r="J7" s="242"/>
      <c r="K7" s="237"/>
      <c r="L7" s="244"/>
      <c r="M7" s="244"/>
      <c r="N7" s="221"/>
      <c r="O7" s="221"/>
      <c r="P7" s="221"/>
      <c r="Q7" s="221"/>
      <c r="R7" s="221"/>
      <c r="S7" s="221"/>
      <c r="T7" s="221"/>
      <c r="U7" s="221"/>
    </row>
    <row r="8" spans="2:21" ht="15.75" customHeight="1" x14ac:dyDescent="0.2">
      <c r="B8" s="245" t="s">
        <v>15</v>
      </c>
      <c r="C8" s="246"/>
      <c r="D8" s="247">
        <v>39.799999999999997</v>
      </c>
      <c r="E8" s="246"/>
      <c r="F8" s="248">
        <f t="shared" ref="F8:F17" si="0">SUM(D8*2)</f>
        <v>79.599999999999994</v>
      </c>
      <c r="G8" s="249"/>
      <c r="H8" s="246">
        <v>4.55</v>
      </c>
      <c r="I8" s="246"/>
      <c r="J8" s="248">
        <f>+H8*2</f>
        <v>9.1</v>
      </c>
      <c r="K8" s="229"/>
      <c r="L8" s="250"/>
      <c r="M8" s="251"/>
      <c r="N8" s="224"/>
      <c r="O8" s="221"/>
      <c r="P8" s="221"/>
      <c r="Q8" s="221"/>
      <c r="R8" s="221"/>
      <c r="S8" s="221"/>
      <c r="T8" s="221"/>
      <c r="U8" s="221"/>
    </row>
    <row r="9" spans="2:21" ht="15.75" customHeight="1" x14ac:dyDescent="0.2">
      <c r="B9" s="245" t="s">
        <v>52</v>
      </c>
      <c r="C9" s="252"/>
      <c r="D9" s="247">
        <v>55.94</v>
      </c>
      <c r="E9" s="247"/>
      <c r="F9" s="248">
        <f t="shared" si="0"/>
        <v>111.88</v>
      </c>
      <c r="G9" s="253"/>
      <c r="H9" s="247">
        <v>4.55</v>
      </c>
      <c r="I9" s="247"/>
      <c r="J9" s="248">
        <f t="shared" ref="J9:J17" si="1">+H9*2</f>
        <v>9.1</v>
      </c>
      <c r="K9" s="229"/>
      <c r="L9" s="250"/>
      <c r="M9" s="251"/>
      <c r="N9" s="224"/>
      <c r="O9" s="221" t="s">
        <v>9</v>
      </c>
      <c r="P9" s="225" t="s">
        <v>146</v>
      </c>
      <c r="Q9" s="226" t="s">
        <v>147</v>
      </c>
      <c r="R9" s="221"/>
      <c r="S9" s="221"/>
      <c r="T9" s="221"/>
      <c r="U9" s="221"/>
    </row>
    <row r="10" spans="2:21" ht="15.75" customHeight="1" x14ac:dyDescent="0.2">
      <c r="B10" s="245" t="s">
        <v>16</v>
      </c>
      <c r="C10" s="246"/>
      <c r="D10" s="247">
        <v>88.22</v>
      </c>
      <c r="E10" s="246"/>
      <c r="F10" s="248">
        <f t="shared" si="0"/>
        <v>176.44</v>
      </c>
      <c r="G10" s="249"/>
      <c r="H10" s="246">
        <v>7.28</v>
      </c>
      <c r="I10" s="246"/>
      <c r="J10" s="248">
        <f t="shared" si="1"/>
        <v>14.56</v>
      </c>
      <c r="K10" s="229"/>
      <c r="L10" s="250"/>
      <c r="M10" s="251"/>
      <c r="N10" s="224"/>
      <c r="O10" s="221"/>
      <c r="P10" s="221"/>
      <c r="Q10" s="227"/>
      <c r="R10" s="221"/>
      <c r="S10" s="221"/>
      <c r="T10" s="221"/>
      <c r="U10" s="221"/>
    </row>
    <row r="11" spans="2:21" ht="15.75" customHeight="1" x14ac:dyDescent="0.2">
      <c r="B11" s="245" t="s">
        <v>17</v>
      </c>
      <c r="C11" s="252"/>
      <c r="D11" s="247">
        <v>168.91</v>
      </c>
      <c r="E11" s="247"/>
      <c r="F11" s="248">
        <f t="shared" si="0"/>
        <v>337.82</v>
      </c>
      <c r="G11" s="253"/>
      <c r="H11" s="247">
        <v>13.65</v>
      </c>
      <c r="I11" s="247"/>
      <c r="J11" s="248">
        <f t="shared" si="1"/>
        <v>27.3</v>
      </c>
      <c r="K11" s="229"/>
      <c r="L11" s="250"/>
      <c r="M11" s="251"/>
      <c r="N11" s="224"/>
      <c r="O11" s="221" t="s">
        <v>117</v>
      </c>
      <c r="P11" s="225" t="s">
        <v>149</v>
      </c>
      <c r="Q11" s="226" t="s">
        <v>148</v>
      </c>
      <c r="R11" s="221"/>
      <c r="S11" s="221"/>
      <c r="T11" s="221"/>
      <c r="U11" s="221"/>
    </row>
    <row r="12" spans="2:21" ht="15.75" customHeight="1" x14ac:dyDescent="0.2">
      <c r="B12" s="245" t="s">
        <v>18</v>
      </c>
      <c r="C12" s="246"/>
      <c r="D12" s="247">
        <v>265.75</v>
      </c>
      <c r="E12" s="246"/>
      <c r="F12" s="248">
        <f t="shared" si="0"/>
        <v>531.5</v>
      </c>
      <c r="G12" s="249"/>
      <c r="H12" s="246">
        <v>23.66</v>
      </c>
      <c r="I12" s="246"/>
      <c r="J12" s="248">
        <f t="shared" si="1"/>
        <v>47.32</v>
      </c>
      <c r="K12" s="229"/>
      <c r="L12" s="250"/>
      <c r="M12" s="251"/>
      <c r="N12" s="224"/>
      <c r="O12" s="221"/>
      <c r="P12" s="221"/>
      <c r="Q12" s="227"/>
      <c r="R12" s="221"/>
      <c r="S12" s="221"/>
      <c r="T12" s="221"/>
      <c r="U12" s="221"/>
    </row>
    <row r="13" spans="2:21" ht="15.75" customHeight="1" x14ac:dyDescent="0.2">
      <c r="B13" s="245" t="s">
        <v>19</v>
      </c>
      <c r="C13" s="252"/>
      <c r="D13" s="247">
        <v>523.98</v>
      </c>
      <c r="E13" s="247"/>
      <c r="F13" s="248">
        <f t="shared" si="0"/>
        <v>1047.96</v>
      </c>
      <c r="G13" s="253"/>
      <c r="H13" s="247">
        <v>43.68</v>
      </c>
      <c r="I13" s="247"/>
      <c r="J13" s="248">
        <f t="shared" si="1"/>
        <v>87.36</v>
      </c>
      <c r="K13" s="229"/>
      <c r="L13" s="250"/>
      <c r="M13" s="251"/>
      <c r="N13" s="224"/>
      <c r="O13" s="221"/>
      <c r="P13" s="221"/>
      <c r="Q13" s="227"/>
      <c r="R13" s="221"/>
      <c r="S13" s="221"/>
      <c r="T13" s="221"/>
      <c r="U13" s="221"/>
    </row>
    <row r="14" spans="2:21" ht="15.75" customHeight="1" x14ac:dyDescent="0.2">
      <c r="B14" s="245" t="s">
        <v>20</v>
      </c>
      <c r="C14" s="246"/>
      <c r="D14" s="247">
        <v>814.49</v>
      </c>
      <c r="E14" s="246"/>
      <c r="F14" s="248">
        <f t="shared" si="0"/>
        <v>1628.98</v>
      </c>
      <c r="G14" s="249"/>
      <c r="H14" s="246">
        <v>74.62</v>
      </c>
      <c r="I14" s="246"/>
      <c r="J14" s="248">
        <f t="shared" si="1"/>
        <v>149.24</v>
      </c>
      <c r="K14" s="229"/>
      <c r="L14" s="250"/>
      <c r="M14" s="251"/>
      <c r="N14" s="224"/>
      <c r="O14" s="221"/>
      <c r="P14" s="221"/>
      <c r="Q14" s="227"/>
      <c r="R14" s="221"/>
      <c r="S14" s="221"/>
      <c r="T14" s="221"/>
      <c r="U14" s="221"/>
    </row>
    <row r="15" spans="2:21" ht="15.75" customHeight="1" x14ac:dyDescent="0.2">
      <c r="B15" s="245" t="s">
        <v>21</v>
      </c>
      <c r="C15" s="252"/>
      <c r="D15" s="247">
        <v>1621.47</v>
      </c>
      <c r="E15" s="247"/>
      <c r="F15" s="248">
        <f t="shared" si="0"/>
        <v>3242.94</v>
      </c>
      <c r="G15" s="253"/>
      <c r="H15" s="247">
        <v>136.5</v>
      </c>
      <c r="I15" s="247"/>
      <c r="J15" s="248">
        <f t="shared" si="1"/>
        <v>273</v>
      </c>
      <c r="K15" s="229"/>
      <c r="L15" s="250"/>
      <c r="M15" s="251"/>
      <c r="N15" s="224"/>
      <c r="O15" s="221" t="s">
        <v>113</v>
      </c>
      <c r="P15" s="225" t="s">
        <v>146</v>
      </c>
      <c r="Q15" s="226" t="s">
        <v>147</v>
      </c>
      <c r="R15" s="221"/>
      <c r="S15" s="221"/>
      <c r="T15" s="221"/>
      <c r="U15" s="221"/>
    </row>
    <row r="16" spans="2:21" ht="15.75" customHeight="1" x14ac:dyDescent="0.2">
      <c r="B16" s="245" t="s">
        <v>22</v>
      </c>
      <c r="C16" s="246"/>
      <c r="D16" s="247">
        <v>2589.84</v>
      </c>
      <c r="E16" s="246"/>
      <c r="F16" s="248">
        <f t="shared" si="0"/>
        <v>5179.68</v>
      </c>
      <c r="G16" s="249"/>
      <c r="H16" s="246">
        <v>236.6</v>
      </c>
      <c r="I16" s="246"/>
      <c r="J16" s="248">
        <f t="shared" si="1"/>
        <v>473.2</v>
      </c>
      <c r="K16" s="229"/>
      <c r="L16" s="250"/>
      <c r="M16" s="251"/>
      <c r="N16" s="224"/>
      <c r="O16" s="221"/>
      <c r="P16" s="221"/>
      <c r="Q16" s="221"/>
      <c r="R16" s="221"/>
      <c r="S16" s="221"/>
      <c r="T16" s="221"/>
      <c r="U16" s="221"/>
    </row>
    <row r="17" spans="2:21" ht="15.75" customHeight="1" x14ac:dyDescent="0.2">
      <c r="B17" s="240" t="s">
        <v>23</v>
      </c>
      <c r="C17" s="254"/>
      <c r="D17" s="255">
        <v>3719.61</v>
      </c>
      <c r="E17" s="255"/>
      <c r="F17" s="256">
        <f t="shared" si="0"/>
        <v>7439.22</v>
      </c>
      <c r="G17" s="254"/>
      <c r="H17" s="255">
        <v>354.9</v>
      </c>
      <c r="I17" s="255"/>
      <c r="J17" s="256">
        <f t="shared" si="1"/>
        <v>709.8</v>
      </c>
      <c r="K17" s="237"/>
      <c r="L17" s="250"/>
      <c r="M17" s="251"/>
      <c r="N17" s="224"/>
      <c r="O17" s="221"/>
      <c r="P17" s="221"/>
      <c r="Q17" s="221"/>
      <c r="R17" s="221"/>
      <c r="S17" s="221"/>
      <c r="T17" s="221"/>
      <c r="U17" s="221"/>
    </row>
    <row r="18" spans="2:21" ht="15.75" customHeight="1" x14ac:dyDescent="0.2">
      <c r="B18" s="257" t="s">
        <v>151</v>
      </c>
      <c r="C18" s="249"/>
      <c r="D18" s="249"/>
      <c r="E18" s="249"/>
      <c r="F18" s="249"/>
      <c r="G18" s="249"/>
      <c r="H18" s="258"/>
      <c r="I18" s="249"/>
      <c r="J18" s="259"/>
      <c r="K18" s="229"/>
      <c r="L18" s="250"/>
      <c r="M18" s="251"/>
      <c r="N18" s="224"/>
      <c r="O18" s="221"/>
      <c r="P18" s="221"/>
      <c r="Q18" s="221"/>
      <c r="R18" s="221"/>
      <c r="S18" s="221"/>
      <c r="T18" s="221"/>
      <c r="U18" s="221"/>
    </row>
    <row r="19" spans="2:21" ht="15.75" customHeight="1" x14ac:dyDescent="0.2">
      <c r="B19" s="245" t="s">
        <v>20</v>
      </c>
      <c r="C19" s="260"/>
      <c r="D19" s="261">
        <v>7.74</v>
      </c>
      <c r="E19" s="262"/>
      <c r="F19" s="263">
        <f t="shared" ref="F19:F22" si="2">SUM(D19*2)</f>
        <v>15.48</v>
      </c>
      <c r="G19" s="264"/>
      <c r="H19" s="265"/>
      <c r="I19" s="266"/>
      <c r="J19" s="259"/>
      <c r="K19" s="229"/>
      <c r="L19" s="249"/>
      <c r="M19" s="267"/>
      <c r="N19" s="84"/>
      <c r="O19" s="14" t="s">
        <v>153</v>
      </c>
      <c r="P19" s="170" t="s">
        <v>146</v>
      </c>
      <c r="Q19" s="171" t="s">
        <v>147</v>
      </c>
    </row>
    <row r="20" spans="2:21" ht="15.75" customHeight="1" x14ac:dyDescent="0.2">
      <c r="B20" s="245" t="s">
        <v>21</v>
      </c>
      <c r="C20" s="253"/>
      <c r="D20" s="247">
        <v>22.47</v>
      </c>
      <c r="E20" s="247"/>
      <c r="F20" s="248">
        <f t="shared" si="2"/>
        <v>44.94</v>
      </c>
      <c r="G20" s="252"/>
      <c r="H20" s="265"/>
      <c r="I20" s="266"/>
      <c r="J20" s="259"/>
      <c r="K20" s="229"/>
      <c r="L20" s="249"/>
      <c r="M20" s="267"/>
      <c r="N20" s="84"/>
    </row>
    <row r="21" spans="2:21" ht="15.75" customHeight="1" x14ac:dyDescent="0.2">
      <c r="B21" s="245" t="s">
        <v>22</v>
      </c>
      <c r="C21" s="253"/>
      <c r="D21" s="247">
        <v>47.88</v>
      </c>
      <c r="E21" s="246"/>
      <c r="F21" s="248">
        <f t="shared" si="2"/>
        <v>95.76</v>
      </c>
      <c r="G21" s="252"/>
      <c r="H21" s="265"/>
      <c r="I21" s="266"/>
      <c r="J21" s="259"/>
      <c r="K21" s="229"/>
      <c r="L21" s="249"/>
      <c r="M21" s="267"/>
      <c r="N21" s="84"/>
      <c r="U21" s="179"/>
    </row>
    <row r="22" spans="2:21" ht="15.75" customHeight="1" x14ac:dyDescent="0.2">
      <c r="B22" s="240" t="s">
        <v>23</v>
      </c>
      <c r="C22" s="253"/>
      <c r="D22" s="247">
        <v>86.11</v>
      </c>
      <c r="E22" s="247"/>
      <c r="F22" s="248">
        <f t="shared" si="2"/>
        <v>172.22</v>
      </c>
      <c r="G22" s="254"/>
      <c r="H22" s="265"/>
      <c r="I22" s="266"/>
      <c r="J22" s="259"/>
      <c r="K22" s="229"/>
      <c r="L22" s="249"/>
      <c r="M22" s="267"/>
      <c r="N22" s="84"/>
    </row>
    <row r="23" spans="2:21" ht="23.25" customHeight="1" x14ac:dyDescent="0.25">
      <c r="B23" s="268" t="s">
        <v>53</v>
      </c>
      <c r="C23" s="269"/>
      <c r="D23" s="269"/>
      <c r="E23" s="269"/>
      <c r="F23" s="269"/>
      <c r="G23" s="269"/>
      <c r="H23" s="270"/>
      <c r="I23" s="229"/>
      <c r="J23" s="271" t="s">
        <v>54</v>
      </c>
      <c r="K23" s="272"/>
      <c r="L23" s="272"/>
      <c r="M23" s="273"/>
    </row>
    <row r="24" spans="2:21" ht="16.5" customHeight="1" x14ac:dyDescent="0.25">
      <c r="B24" s="274" t="s">
        <v>47</v>
      </c>
      <c r="C24" s="275"/>
      <c r="D24" s="276" t="s">
        <v>55</v>
      </c>
      <c r="E24" s="277"/>
      <c r="F24" s="276" t="s">
        <v>56</v>
      </c>
      <c r="G24" s="278"/>
      <c r="H24" s="279" t="s">
        <v>57</v>
      </c>
      <c r="I24" s="229"/>
      <c r="J24" s="280" t="s">
        <v>144</v>
      </c>
      <c r="K24" s="281"/>
      <c r="L24" s="282"/>
      <c r="M24" s="283"/>
      <c r="O24" s="87">
        <v>2027</v>
      </c>
      <c r="P24" s="87">
        <v>2028</v>
      </c>
      <c r="Q24" s="87">
        <v>2029</v>
      </c>
      <c r="R24" s="87">
        <v>2030</v>
      </c>
    </row>
    <row r="25" spans="2:21" ht="14.25" customHeight="1" x14ac:dyDescent="0.25">
      <c r="B25" s="284" t="s">
        <v>15</v>
      </c>
      <c r="C25" s="285"/>
      <c r="D25" s="286" t="s">
        <v>122</v>
      </c>
      <c r="E25" s="287"/>
      <c r="F25" s="288" t="s">
        <v>132</v>
      </c>
      <c r="G25" s="243"/>
      <c r="H25" s="289" t="s">
        <v>58</v>
      </c>
      <c r="I25" s="229"/>
      <c r="J25" s="245" t="s">
        <v>55</v>
      </c>
      <c r="K25" s="229"/>
      <c r="L25" s="290">
        <v>6.01</v>
      </c>
      <c r="M25" s="243" t="s">
        <v>72</v>
      </c>
      <c r="N25" s="85"/>
      <c r="O25">
        <v>6.24</v>
      </c>
      <c r="P25">
        <v>6.48</v>
      </c>
      <c r="Q25">
        <v>6.73</v>
      </c>
      <c r="R25">
        <v>6.99</v>
      </c>
    </row>
    <row r="26" spans="2:21" ht="14.25" customHeight="1" x14ac:dyDescent="0.2">
      <c r="B26" s="284" t="s">
        <v>52</v>
      </c>
      <c r="C26" s="229"/>
      <c r="D26" s="286" t="s">
        <v>123</v>
      </c>
      <c r="E26" s="287"/>
      <c r="F26" s="288" t="s">
        <v>133</v>
      </c>
      <c r="G26" s="243"/>
      <c r="H26" s="289" t="s">
        <v>59</v>
      </c>
      <c r="I26" s="229"/>
      <c r="J26" s="245" t="s">
        <v>56</v>
      </c>
      <c r="K26" s="229"/>
      <c r="L26" s="290">
        <v>7.79</v>
      </c>
      <c r="M26" s="243" t="s">
        <v>72</v>
      </c>
      <c r="O26">
        <v>8.08</v>
      </c>
      <c r="P26">
        <v>8.3800000000000008</v>
      </c>
      <c r="Q26">
        <v>8.6999999999999993</v>
      </c>
      <c r="R26">
        <v>9.0299999999999994</v>
      </c>
    </row>
    <row r="27" spans="2:21" ht="14.25" customHeight="1" x14ac:dyDescent="0.2">
      <c r="B27" s="284" t="s">
        <v>16</v>
      </c>
      <c r="C27" s="229"/>
      <c r="D27" s="291" t="s">
        <v>124</v>
      </c>
      <c r="E27" s="287"/>
      <c r="F27" s="288" t="s">
        <v>134</v>
      </c>
      <c r="G27" s="243"/>
      <c r="H27" s="289" t="s">
        <v>60</v>
      </c>
      <c r="I27" s="229"/>
      <c r="J27" s="245" t="s">
        <v>57</v>
      </c>
      <c r="K27" s="229"/>
      <c r="L27" s="290">
        <v>7.82</v>
      </c>
      <c r="M27" s="292" t="s">
        <v>72</v>
      </c>
      <c r="N27" s="84"/>
      <c r="O27">
        <v>8.11</v>
      </c>
      <c r="P27">
        <v>8.42</v>
      </c>
      <c r="Q27">
        <v>8.74</v>
      </c>
      <c r="R27">
        <v>9.07</v>
      </c>
    </row>
    <row r="28" spans="2:21" ht="14.25" customHeight="1" x14ac:dyDescent="0.2">
      <c r="B28" s="284" t="s">
        <v>17</v>
      </c>
      <c r="C28" s="229"/>
      <c r="D28" s="291" t="s">
        <v>125</v>
      </c>
      <c r="E28" s="287"/>
      <c r="F28" s="288" t="s">
        <v>135</v>
      </c>
      <c r="G28" s="243"/>
      <c r="H28" s="289" t="s">
        <v>61</v>
      </c>
      <c r="I28" s="229"/>
      <c r="J28" s="293" t="s">
        <v>62</v>
      </c>
      <c r="K28" s="275"/>
      <c r="L28" s="294">
        <v>7.1</v>
      </c>
      <c r="M28" s="278" t="s">
        <v>72</v>
      </c>
      <c r="N28" s="84"/>
    </row>
    <row r="29" spans="2:21" ht="14.25" customHeight="1" x14ac:dyDescent="0.2">
      <c r="B29" s="284" t="s">
        <v>18</v>
      </c>
      <c r="C29" s="229"/>
      <c r="D29" s="291" t="s">
        <v>126</v>
      </c>
      <c r="E29" s="287"/>
      <c r="F29" s="288" t="s">
        <v>136</v>
      </c>
      <c r="G29" s="243"/>
      <c r="H29" s="289" t="s">
        <v>63</v>
      </c>
      <c r="I29" s="229"/>
      <c r="J29" s="278" t="s">
        <v>66</v>
      </c>
      <c r="K29" s="275"/>
      <c r="L29" s="294">
        <f>7.1-1.64</f>
        <v>5.46</v>
      </c>
      <c r="M29" s="278" t="s">
        <v>72</v>
      </c>
      <c r="N29" s="84"/>
    </row>
    <row r="30" spans="2:21" ht="14.25" customHeight="1" x14ac:dyDescent="0.2">
      <c r="B30" s="284" t="s">
        <v>19</v>
      </c>
      <c r="C30" s="229"/>
      <c r="D30" s="291" t="s">
        <v>127</v>
      </c>
      <c r="E30" s="287"/>
      <c r="F30" s="288" t="s">
        <v>137</v>
      </c>
      <c r="G30" s="243"/>
      <c r="H30" s="289" t="s">
        <v>64</v>
      </c>
      <c r="I30" s="229"/>
      <c r="J30" s="234"/>
      <c r="K30" s="295"/>
      <c r="L30" s="296"/>
      <c r="M30" s="234"/>
      <c r="N30" s="84"/>
    </row>
    <row r="31" spans="2:21" ht="14.25" customHeight="1" x14ac:dyDescent="0.2">
      <c r="B31" s="284" t="s">
        <v>20</v>
      </c>
      <c r="C31" s="229"/>
      <c r="D31" s="291" t="s">
        <v>128</v>
      </c>
      <c r="E31" s="287"/>
      <c r="F31" s="288" t="s">
        <v>138</v>
      </c>
      <c r="G31" s="243"/>
      <c r="H31" s="289" t="s">
        <v>65</v>
      </c>
      <c r="I31" s="229"/>
      <c r="J31" s="243"/>
      <c r="K31" s="229"/>
      <c r="L31" s="290"/>
      <c r="M31" s="243"/>
      <c r="N31" s="84"/>
    </row>
    <row r="32" spans="2:21" ht="14.25" customHeight="1" x14ac:dyDescent="0.2">
      <c r="B32" s="284" t="s">
        <v>21</v>
      </c>
      <c r="C32" s="229"/>
      <c r="D32" s="291" t="s">
        <v>129</v>
      </c>
      <c r="E32" s="287"/>
      <c r="F32" s="288" t="s">
        <v>139</v>
      </c>
      <c r="G32" s="243"/>
      <c r="H32" s="289" t="s">
        <v>67</v>
      </c>
      <c r="I32" s="229"/>
      <c r="J32" s="243"/>
      <c r="K32" s="229"/>
      <c r="L32" s="297"/>
      <c r="M32" s="243"/>
      <c r="N32" s="84"/>
    </row>
    <row r="33" spans="2:14" ht="14.25" customHeight="1" x14ac:dyDescent="0.2">
      <c r="B33" s="284" t="s">
        <v>22</v>
      </c>
      <c r="C33" s="229"/>
      <c r="D33" s="291" t="s">
        <v>130</v>
      </c>
      <c r="E33" s="287"/>
      <c r="F33" s="288" t="s">
        <v>141</v>
      </c>
      <c r="G33" s="243"/>
      <c r="H33" s="289" t="s">
        <v>68</v>
      </c>
      <c r="I33" s="229"/>
      <c r="J33" s="243"/>
      <c r="K33" s="230"/>
      <c r="L33" s="298"/>
      <c r="M33" s="243"/>
      <c r="N33" s="84"/>
    </row>
    <row r="34" spans="2:14" ht="14.25" customHeight="1" x14ac:dyDescent="0.2">
      <c r="B34" s="299" t="s">
        <v>23</v>
      </c>
      <c r="C34" s="300"/>
      <c r="D34" s="301" t="s">
        <v>131</v>
      </c>
      <c r="E34" s="302"/>
      <c r="F34" s="303" t="s">
        <v>140</v>
      </c>
      <c r="G34" s="292"/>
      <c r="H34" s="304" t="s">
        <v>69</v>
      </c>
      <c r="I34" s="305"/>
      <c r="J34" s="306" t="s">
        <v>70</v>
      </c>
      <c r="K34" s="277"/>
      <c r="L34" s="277"/>
      <c r="M34" s="307"/>
      <c r="N34" s="84"/>
    </row>
    <row r="35" spans="2:14" x14ac:dyDescent="0.2">
      <c r="B35" s="88"/>
      <c r="D35" s="89"/>
      <c r="E35" s="86"/>
      <c r="F35" s="88"/>
      <c r="H35" s="88"/>
      <c r="J35" s="5"/>
      <c r="K35" s="5"/>
      <c r="L35" s="5"/>
    </row>
  </sheetData>
  <sheetProtection sheet="1" objects="1" scenarios="1" selectLockedCells="1"/>
  <mergeCells count="7">
    <mergeCell ref="J24:L24"/>
    <mergeCell ref="B23:H23"/>
    <mergeCell ref="J23:L23"/>
    <mergeCell ref="B1:M2"/>
    <mergeCell ref="L5:M6"/>
    <mergeCell ref="B4:F4"/>
    <mergeCell ref="H4:J4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topLeftCell="A25" zoomScaleNormal="145" zoomScaleSheetLayoutView="100" workbookViewId="0">
      <selection activeCell="K45" sqref="K45"/>
    </sheetView>
  </sheetViews>
  <sheetFormatPr defaultRowHeight="12.75" x14ac:dyDescent="0.2"/>
  <cols>
    <col min="1" max="1" width="7.5703125" style="82" customWidth="1"/>
    <col min="2" max="2" width="13.7109375" style="82" customWidth="1"/>
    <col min="3" max="3" width="2.7109375" style="82" customWidth="1"/>
    <col min="4" max="4" width="8" style="82" customWidth="1"/>
    <col min="5" max="5" width="12.140625" style="82" customWidth="1"/>
    <col min="6" max="6" width="10.7109375" style="82" bestFit="1" customWidth="1"/>
    <col min="7" max="7" width="10.42578125" style="82" customWidth="1"/>
    <col min="8" max="8" width="2.7109375" style="82" customWidth="1"/>
    <col min="9" max="9" width="14.5703125" style="82" bestFit="1" customWidth="1"/>
    <col min="10" max="10" width="9.85546875" style="82" customWidth="1"/>
    <col min="11" max="11" width="11.28515625" style="82" bestFit="1" customWidth="1"/>
    <col min="12" max="12" width="10.42578125" style="82" customWidth="1"/>
    <col min="13" max="13" width="2.7109375" style="82" customWidth="1"/>
    <col min="14" max="14" width="7.7109375" style="82" customWidth="1"/>
    <col min="15" max="15" width="9.85546875" style="82" customWidth="1"/>
    <col min="16" max="16" width="10.7109375" style="82" bestFit="1" customWidth="1"/>
    <col min="17" max="17" width="10.140625" style="82" bestFit="1" customWidth="1"/>
    <col min="18" max="18" width="2.7109375" style="82" customWidth="1"/>
    <col min="19" max="19" width="7.7109375" style="82" customWidth="1"/>
    <col min="20" max="20" width="9.7109375" style="82" customWidth="1"/>
    <col min="21" max="21" width="10.7109375" bestFit="1" customWidth="1"/>
    <col min="22" max="22" width="10.140625" bestFit="1" customWidth="1"/>
  </cols>
  <sheetData>
    <row r="1" spans="1:22" ht="18" x14ac:dyDescent="0.2">
      <c r="A1" s="99" t="s">
        <v>75</v>
      </c>
      <c r="B1" s="99"/>
      <c r="C1" s="100"/>
      <c r="D1" s="100"/>
    </row>
    <row r="2" spans="1:22" x14ac:dyDescent="0.2">
      <c r="A2" s="153" t="str">
        <f>Rates!O9</f>
        <v>Service Charge</v>
      </c>
      <c r="B2" s="153"/>
      <c r="C2" s="150"/>
      <c r="D2" s="150"/>
      <c r="E2" s="215" t="str">
        <f>Rates!P9</f>
        <v>Effective 1/1/26</v>
      </c>
      <c r="F2" s="215"/>
    </row>
    <row r="3" spans="1:22" x14ac:dyDescent="0.2">
      <c r="A3" s="153" t="str">
        <f>Rates!O11</f>
        <v>Emergency Water Storage Fee (CWA)</v>
      </c>
      <c r="B3" s="153"/>
      <c r="C3" s="150"/>
      <c r="D3" s="150"/>
      <c r="E3" s="215" t="str">
        <f>Rates!P11</f>
        <v>Effective 1/1/25</v>
      </c>
      <c r="F3" s="215"/>
    </row>
    <row r="4" spans="1:22" ht="13.5" thickBot="1" x14ac:dyDescent="0.25">
      <c r="A4" s="151" t="str">
        <f>Rates!O15</f>
        <v>Tier Rate: Water Usage Charge</v>
      </c>
      <c r="B4" s="151"/>
      <c r="C4" s="152"/>
      <c r="D4" s="152"/>
      <c r="E4" s="216" t="str">
        <f>Rates!P15</f>
        <v>Effective 1/1/26</v>
      </c>
      <c r="F4" s="216"/>
    </row>
    <row r="5" spans="1:22" ht="13.5" thickTop="1" x14ac:dyDescent="0.2"/>
    <row r="6" spans="1:22" s="7" customFormat="1" ht="63.75" customHeight="1" x14ac:dyDescent="0.2">
      <c r="A6" s="212" t="s">
        <v>14</v>
      </c>
      <c r="B6" s="154" t="s">
        <v>119</v>
      </c>
      <c r="C6" s="90"/>
      <c r="D6" s="212" t="s">
        <v>83</v>
      </c>
      <c r="E6" s="212" t="s">
        <v>34</v>
      </c>
      <c r="F6" s="154" t="s">
        <v>82</v>
      </c>
      <c r="G6" s="212" t="s">
        <v>81</v>
      </c>
      <c r="H6" s="90"/>
      <c r="I6" s="212" t="s">
        <v>84</v>
      </c>
      <c r="J6" s="212" t="s">
        <v>76</v>
      </c>
      <c r="K6" s="154" t="s">
        <v>82</v>
      </c>
      <c r="L6" s="212" t="s">
        <v>81</v>
      </c>
      <c r="M6" s="90"/>
      <c r="N6" s="212" t="s">
        <v>85</v>
      </c>
      <c r="O6" s="212" t="s">
        <v>76</v>
      </c>
      <c r="P6" s="154" t="s">
        <v>82</v>
      </c>
      <c r="Q6" s="212" t="s">
        <v>81</v>
      </c>
      <c r="R6" s="90"/>
      <c r="S6" s="212" t="s">
        <v>86</v>
      </c>
      <c r="T6" s="212" t="s">
        <v>76</v>
      </c>
      <c r="U6" s="154" t="s">
        <v>82</v>
      </c>
      <c r="V6" s="212" t="s">
        <v>81</v>
      </c>
    </row>
    <row r="7" spans="1:22" s="7" customFormat="1" x14ac:dyDescent="0.2">
      <c r="A7" s="213"/>
      <c r="B7" s="157" t="str">
        <f>Rates!Q9</f>
        <v>(1/1/26)</v>
      </c>
      <c r="C7" s="90"/>
      <c r="D7" s="213"/>
      <c r="E7" s="213"/>
      <c r="F7" s="156" t="s">
        <v>90</v>
      </c>
      <c r="G7" s="213"/>
      <c r="H7" s="90"/>
      <c r="I7" s="213"/>
      <c r="J7" s="213"/>
      <c r="K7" s="156" t="s">
        <v>90</v>
      </c>
      <c r="L7" s="213"/>
      <c r="M7" s="90"/>
      <c r="N7" s="213"/>
      <c r="O7" s="213"/>
      <c r="P7" s="156" t="s">
        <v>90</v>
      </c>
      <c r="Q7" s="213"/>
      <c r="R7" s="90"/>
      <c r="S7" s="213"/>
      <c r="T7" s="213"/>
      <c r="U7" s="156" t="s">
        <v>90</v>
      </c>
      <c r="V7" s="213"/>
    </row>
    <row r="8" spans="1:22" s="7" customFormat="1" ht="12.75" customHeight="1" x14ac:dyDescent="0.2">
      <c r="A8" s="214"/>
      <c r="B8" s="158" t="str">
        <f>Rates!Q11</f>
        <v>(1/1/25)</v>
      </c>
      <c r="C8" s="90"/>
      <c r="D8" s="214"/>
      <c r="E8" s="214"/>
      <c r="F8" s="155" t="str">
        <f>Rates!Q15</f>
        <v>(1/1/26)</v>
      </c>
      <c r="G8" s="214"/>
      <c r="H8" s="166"/>
      <c r="I8" s="214"/>
      <c r="J8" s="214"/>
      <c r="K8" s="155" t="str">
        <f>Rates!Q15</f>
        <v>(1/1/26)</v>
      </c>
      <c r="L8" s="214"/>
      <c r="M8" s="90"/>
      <c r="N8" s="214"/>
      <c r="O8" s="214"/>
      <c r="P8" s="155" t="str">
        <f>Rates!Q15</f>
        <v>(1/1/26)</v>
      </c>
      <c r="Q8" s="214"/>
      <c r="R8" s="90"/>
      <c r="S8" s="214"/>
      <c r="T8" s="214"/>
      <c r="U8" s="155" t="str">
        <f>Rates!Q15</f>
        <v>(1/1/26)</v>
      </c>
      <c r="V8" s="214"/>
    </row>
    <row r="9" spans="1:22" ht="24.95" customHeight="1" x14ac:dyDescent="0.2">
      <c r="A9" s="101" t="s">
        <v>15</v>
      </c>
      <c r="B9" s="102">
        <f>Rates!$F$8+Rates!$J$8</f>
        <v>88.699999999999989</v>
      </c>
      <c r="D9" s="101">
        <v>1</v>
      </c>
      <c r="E9" s="103">
        <f t="shared" ref="E9:E14" si="0">G9/(D9*748)</f>
        <v>0.12661764705882353</v>
      </c>
      <c r="F9" s="102">
        <f>D9*Rates!$L$25</f>
        <v>6.01</v>
      </c>
      <c r="G9" s="102">
        <f t="shared" ref="G9:G14" si="1">$B9+F9</f>
        <v>94.71</v>
      </c>
      <c r="H9" s="167"/>
      <c r="I9" s="101">
        <v>14</v>
      </c>
      <c r="J9" s="103">
        <f t="shared" ref="J9:J14" si="2">L9/(I9*748)</f>
        <v>1.650496562261268E-2</v>
      </c>
      <c r="K9" s="102">
        <f>I9*Rates!$L$25</f>
        <v>84.14</v>
      </c>
      <c r="L9" s="102">
        <f t="shared" ref="L9:L14" si="3">$B9+K9</f>
        <v>172.83999999999997</v>
      </c>
      <c r="M9" s="104"/>
      <c r="N9" s="101">
        <v>84</v>
      </c>
      <c r="O9" s="103">
        <f t="shared" ref="O9:O14" si="4">Q9/(N9*748)</f>
        <v>1.1429526355996943E-2</v>
      </c>
      <c r="P9" s="102">
        <f>I9*Rates!$L$25+((N9-I9)*Rates!$L$26)</f>
        <v>629.43999999999994</v>
      </c>
      <c r="Q9" s="102">
        <f t="shared" ref="Q9:Q14" si="5">$B9+P9</f>
        <v>718.13999999999987</v>
      </c>
      <c r="R9" s="104"/>
      <c r="S9" s="101">
        <f>85+10</f>
        <v>95</v>
      </c>
      <c r="T9" s="103">
        <f t="shared" ref="T9:T14" si="6">V9/(S9*748)</f>
        <v>1.1316633830565716E-2</v>
      </c>
      <c r="U9" s="102">
        <f>I9*Rates!$L$25+((N9-I9)*Rates!$L$26)+((S9-N9)*Rates!$L$27)</f>
        <v>715.45999999999992</v>
      </c>
      <c r="V9" s="102">
        <f t="shared" ref="V9:V14" si="7">$B9+U9</f>
        <v>804.15999999999985</v>
      </c>
    </row>
    <row r="10" spans="1:22" ht="24.95" customHeight="1" x14ac:dyDescent="0.2">
      <c r="A10" s="101" t="s">
        <v>2</v>
      </c>
      <c r="B10" s="102">
        <f>Rates!$F9+Rates!$J9</f>
        <v>120.97999999999999</v>
      </c>
      <c r="D10" s="101">
        <v>1</v>
      </c>
      <c r="E10" s="103">
        <f t="shared" si="0"/>
        <v>0.16977272727272727</v>
      </c>
      <c r="F10" s="102">
        <f>D10*Rates!$L$25</f>
        <v>6.01</v>
      </c>
      <c r="G10" s="102">
        <f t="shared" si="1"/>
        <v>126.99</v>
      </c>
      <c r="H10" s="167"/>
      <c r="I10" s="101">
        <v>20</v>
      </c>
      <c r="J10" s="103">
        <f t="shared" si="2"/>
        <v>1.6121657754010695E-2</v>
      </c>
      <c r="K10" s="102">
        <f>I10*Rates!$L$25</f>
        <v>120.19999999999999</v>
      </c>
      <c r="L10" s="102">
        <f t="shared" si="3"/>
        <v>241.17999999999998</v>
      </c>
      <c r="M10" s="104"/>
      <c r="N10" s="101">
        <v>120</v>
      </c>
      <c r="O10" s="103">
        <f t="shared" si="4"/>
        <v>1.1365641711229947E-2</v>
      </c>
      <c r="P10" s="102">
        <f>I10*Rates!$L$25+((N10-I10)*Rates!$L$26)</f>
        <v>899.2</v>
      </c>
      <c r="Q10" s="102">
        <f t="shared" si="5"/>
        <v>1020.1800000000001</v>
      </c>
      <c r="R10" s="104"/>
      <c r="S10" s="101">
        <f>121+10</f>
        <v>131</v>
      </c>
      <c r="T10" s="103">
        <f t="shared" si="6"/>
        <v>1.1289137445401479E-2</v>
      </c>
      <c r="U10" s="102">
        <f>I10*Rates!$L$25+((N10-I10)*Rates!$L$26)+((S10-N10)*Rates!$L$27)</f>
        <v>985.22</v>
      </c>
      <c r="V10" s="102">
        <f t="shared" si="7"/>
        <v>1106.2</v>
      </c>
    </row>
    <row r="11" spans="1:22" ht="24.95" customHeight="1" x14ac:dyDescent="0.2">
      <c r="A11" s="101" t="s">
        <v>16</v>
      </c>
      <c r="B11" s="102">
        <f>Rates!$F10+Rates!$J10</f>
        <v>191</v>
      </c>
      <c r="D11" s="101">
        <v>1</v>
      </c>
      <c r="E11" s="103">
        <f t="shared" si="0"/>
        <v>0.26338235294117646</v>
      </c>
      <c r="F11" s="102">
        <f>D11*Rates!$L$25</f>
        <v>6.01</v>
      </c>
      <c r="G11" s="102">
        <f t="shared" si="1"/>
        <v>197.01</v>
      </c>
      <c r="H11" s="167"/>
      <c r="I11" s="101">
        <v>50</v>
      </c>
      <c r="J11" s="103">
        <f t="shared" si="2"/>
        <v>1.3141711229946524E-2</v>
      </c>
      <c r="K11" s="102">
        <f>I11*Rates!$L$25</f>
        <v>300.5</v>
      </c>
      <c r="L11" s="102">
        <f t="shared" si="3"/>
        <v>491.5</v>
      </c>
      <c r="M11" s="104"/>
      <c r="N11" s="101">
        <v>300</v>
      </c>
      <c r="O11" s="103">
        <f t="shared" si="4"/>
        <v>1.0868983957219251E-2</v>
      </c>
      <c r="P11" s="102">
        <f>I11*Rates!$L$25+((N11-I11)*Rates!$L$26)</f>
        <v>2248</v>
      </c>
      <c r="Q11" s="102">
        <f t="shared" si="5"/>
        <v>2439</v>
      </c>
      <c r="R11" s="104"/>
      <c r="S11" s="101">
        <f>301+10</f>
        <v>311</v>
      </c>
      <c r="T11" s="103">
        <f t="shared" si="6"/>
        <v>1.0854325360661657E-2</v>
      </c>
      <c r="U11" s="102">
        <f>I11*Rates!$L$25+((N11-I11)*Rates!$L$26)+((S11-N11)*Rates!$L$27)</f>
        <v>2334.02</v>
      </c>
      <c r="V11" s="102">
        <f t="shared" si="7"/>
        <v>2525.02</v>
      </c>
    </row>
    <row r="12" spans="1:22" ht="24.95" customHeight="1" x14ac:dyDescent="0.2">
      <c r="A12" s="101" t="s">
        <v>17</v>
      </c>
      <c r="B12" s="102">
        <f>Rates!$F11+Rates!$J11</f>
        <v>365.12</v>
      </c>
      <c r="D12" s="101">
        <v>1</v>
      </c>
      <c r="E12" s="103">
        <f t="shared" si="0"/>
        <v>0.49616310160427807</v>
      </c>
      <c r="F12" s="102">
        <f>D12*Rates!$L$25</f>
        <v>6.01</v>
      </c>
      <c r="G12" s="102">
        <f t="shared" si="1"/>
        <v>371.13</v>
      </c>
      <c r="H12" s="167"/>
      <c r="I12" s="101">
        <v>100</v>
      </c>
      <c r="J12" s="103">
        <f t="shared" si="2"/>
        <v>1.2916042780748663E-2</v>
      </c>
      <c r="K12" s="102">
        <f>I12*Rates!$L$25</f>
        <v>601</v>
      </c>
      <c r="L12" s="102">
        <f t="shared" si="3"/>
        <v>966.12</v>
      </c>
      <c r="M12" s="104"/>
      <c r="N12" s="101">
        <v>600</v>
      </c>
      <c r="O12" s="103">
        <f t="shared" si="4"/>
        <v>1.0831372549019608E-2</v>
      </c>
      <c r="P12" s="102">
        <f>I12*Rates!$L$25+((N12-I12)*Rates!$L$26)</f>
        <v>4496</v>
      </c>
      <c r="Q12" s="102">
        <f t="shared" si="5"/>
        <v>4861.12</v>
      </c>
      <c r="R12" s="104"/>
      <c r="S12" s="101">
        <f>601+10</f>
        <v>611</v>
      </c>
      <c r="T12" s="103">
        <f t="shared" si="6"/>
        <v>1.0824588427842495E-2</v>
      </c>
      <c r="U12" s="102">
        <f>I12*Rates!$L$25+((N12-I12)*Rates!$L$26)+((S12-N12)*Rates!$L$27)</f>
        <v>4582.0200000000004</v>
      </c>
      <c r="V12" s="102">
        <f t="shared" si="7"/>
        <v>4947.1400000000003</v>
      </c>
    </row>
    <row r="13" spans="1:22" ht="24.95" customHeight="1" x14ac:dyDescent="0.2">
      <c r="A13" s="101" t="s">
        <v>18</v>
      </c>
      <c r="B13" s="102">
        <f>Rates!$F12+Rates!$J12</f>
        <v>578.82000000000005</v>
      </c>
      <c r="D13" s="101">
        <v>1</v>
      </c>
      <c r="E13" s="103">
        <f t="shared" si="0"/>
        <v>0.78185828877005348</v>
      </c>
      <c r="F13" s="102">
        <f>D13*Rates!$L$25</f>
        <v>6.01</v>
      </c>
      <c r="G13" s="102">
        <f t="shared" si="1"/>
        <v>584.83000000000004</v>
      </c>
      <c r="H13" s="167"/>
      <c r="I13" s="101">
        <v>160</v>
      </c>
      <c r="J13" s="103">
        <f t="shared" si="2"/>
        <v>1.2871156417112299E-2</v>
      </c>
      <c r="K13" s="102">
        <f>I13*Rates!$L$25</f>
        <v>961.59999999999991</v>
      </c>
      <c r="L13" s="102">
        <f t="shared" si="3"/>
        <v>1540.42</v>
      </c>
      <c r="M13" s="104"/>
      <c r="N13" s="101">
        <v>960</v>
      </c>
      <c r="O13" s="103">
        <f t="shared" si="4"/>
        <v>1.0823891488413548E-2</v>
      </c>
      <c r="P13" s="102">
        <f>I13*Rates!$L$25+((N13-I13)*Rates!$L$26)</f>
        <v>7193.6</v>
      </c>
      <c r="Q13" s="102">
        <f t="shared" si="5"/>
        <v>7772.42</v>
      </c>
      <c r="R13" s="104"/>
      <c r="S13" s="101">
        <f>961+10</f>
        <v>971</v>
      </c>
      <c r="T13" s="103">
        <f t="shared" si="6"/>
        <v>1.0819707341788883E-2</v>
      </c>
      <c r="U13" s="102">
        <f>I13*Rates!$L$25+((N13-I13)*Rates!$L$26)+((S13-N13)*Rates!$L$27)</f>
        <v>7279.6200000000008</v>
      </c>
      <c r="V13" s="102">
        <f t="shared" si="7"/>
        <v>7858.4400000000005</v>
      </c>
    </row>
    <row r="14" spans="1:22" ht="24.95" customHeight="1" x14ac:dyDescent="0.2">
      <c r="A14" s="101" t="s">
        <v>19</v>
      </c>
      <c r="B14" s="102">
        <f>Rates!$F13+Rates!$J13</f>
        <v>1135.32</v>
      </c>
      <c r="D14" s="101">
        <v>1</v>
      </c>
      <c r="E14" s="103">
        <f t="shared" si="0"/>
        <v>1.5258422459893046</v>
      </c>
      <c r="F14" s="102">
        <f>D14*Rates!$L$25</f>
        <v>6.01</v>
      </c>
      <c r="G14" s="102">
        <f t="shared" si="1"/>
        <v>1141.33</v>
      </c>
      <c r="H14" s="167"/>
      <c r="I14" s="101">
        <v>320</v>
      </c>
      <c r="J14" s="103">
        <f t="shared" si="2"/>
        <v>1.2777907754010694E-2</v>
      </c>
      <c r="K14" s="102">
        <f>I14*Rates!$L$25</f>
        <v>1923.1999999999998</v>
      </c>
      <c r="L14" s="102">
        <f t="shared" si="3"/>
        <v>3058.5199999999995</v>
      </c>
      <c r="M14" s="104"/>
      <c r="N14" s="101">
        <v>1920</v>
      </c>
      <c r="O14" s="103">
        <f t="shared" si="4"/>
        <v>1.080835004456328E-2</v>
      </c>
      <c r="P14" s="102">
        <f>I14*Rates!$L$25+((N14-I14)*Rates!$L$26)</f>
        <v>14387.2</v>
      </c>
      <c r="Q14" s="102">
        <f t="shared" si="5"/>
        <v>15522.52</v>
      </c>
      <c r="R14" s="104"/>
      <c r="S14" s="101">
        <f>1921+10</f>
        <v>1931</v>
      </c>
      <c r="T14" s="103">
        <f t="shared" si="6"/>
        <v>1.080633458599767E-2</v>
      </c>
      <c r="U14" s="102">
        <f>I14*Rates!$L$25+((N14-I14)*Rates!$L$26)+((S14-N14)*Rates!$L$27)</f>
        <v>14473.220000000001</v>
      </c>
      <c r="V14" s="102">
        <f t="shared" si="7"/>
        <v>15608.54</v>
      </c>
    </row>
    <row r="15" spans="1:22" x14ac:dyDescent="0.2">
      <c r="H15" s="168"/>
    </row>
    <row r="18" spans="1:21" ht="63.75" customHeight="1" x14ac:dyDescent="0.2">
      <c r="A18" s="212" t="s">
        <v>14</v>
      </c>
      <c r="B18" s="154" t="s">
        <v>118</v>
      </c>
      <c r="D18" s="159" t="s">
        <v>77</v>
      </c>
      <c r="E18" s="159" t="s">
        <v>79</v>
      </c>
      <c r="F18" s="159" t="s">
        <v>78</v>
      </c>
      <c r="G18" s="90"/>
      <c r="I18" s="212" t="s">
        <v>80</v>
      </c>
      <c r="J18" s="212" t="s">
        <v>87</v>
      </c>
      <c r="K18" s="212" t="s">
        <v>88</v>
      </c>
      <c r="U18" s="82"/>
    </row>
    <row r="19" spans="1:21" x14ac:dyDescent="0.2">
      <c r="A19" s="213"/>
      <c r="B19" s="157" t="str">
        <f>Rates!Q9</f>
        <v>(1/1/26)</v>
      </c>
      <c r="D19" s="83" t="s">
        <v>90</v>
      </c>
      <c r="E19" s="83" t="s">
        <v>90</v>
      </c>
      <c r="F19" s="83" t="s">
        <v>90</v>
      </c>
      <c r="G19" s="90"/>
      <c r="I19" s="213"/>
      <c r="J19" s="213"/>
      <c r="K19" s="213"/>
      <c r="U19" s="82"/>
    </row>
    <row r="20" spans="1:21" x14ac:dyDescent="0.2">
      <c r="A20" s="214"/>
      <c r="B20" s="158" t="str">
        <f>Rates!Q11</f>
        <v>(1/1/25)</v>
      </c>
      <c r="D20" s="81" t="str">
        <f>Rates!Q15</f>
        <v>(1/1/26)</v>
      </c>
      <c r="E20" s="81" t="str">
        <f>Rates!Q15</f>
        <v>(1/1/26)</v>
      </c>
      <c r="F20" s="81" t="str">
        <f>Rates!Q15</f>
        <v>(1/1/26)</v>
      </c>
      <c r="G20" s="90"/>
      <c r="I20" s="214"/>
      <c r="J20" s="214"/>
      <c r="K20" s="214"/>
      <c r="U20" s="82"/>
    </row>
    <row r="21" spans="1:21" ht="24.75" customHeight="1" x14ac:dyDescent="0.2">
      <c r="A21" s="101" t="str">
        <f t="shared" ref="A21:B26" si="8">A9</f>
        <v>5/8"</v>
      </c>
      <c r="B21" s="102">
        <f t="shared" si="8"/>
        <v>88.699999999999989</v>
      </c>
      <c r="D21" s="105">
        <f>I9*Rates!$L$25+((20-I9)*Rates!$L$26)</f>
        <v>130.88</v>
      </c>
      <c r="E21" s="105">
        <f>I9*Rates!$L$25+((160-I9)*Rates!$L$26)</f>
        <v>1221.48</v>
      </c>
      <c r="F21" s="105">
        <f>I9*Rates!$L$25+((1000-I9)*Rates!$L$26)</f>
        <v>7765.08</v>
      </c>
      <c r="G21" s="106"/>
      <c r="I21" s="101"/>
      <c r="J21" s="101"/>
      <c r="K21" s="101"/>
      <c r="U21" s="82"/>
    </row>
    <row r="22" spans="1:21" ht="24.75" customHeight="1" x14ac:dyDescent="0.2">
      <c r="A22" s="101" t="str">
        <f t="shared" si="8"/>
        <v>3/4"</v>
      </c>
      <c r="B22" s="102">
        <f t="shared" si="8"/>
        <v>120.97999999999999</v>
      </c>
      <c r="D22" s="105">
        <f>I10*Rates!$L$25+((20-I10)*Rates!$L$26)</f>
        <v>120.19999999999999</v>
      </c>
      <c r="E22" s="105">
        <f>I10*Rates!$L$25+((160-I10)*Rates!$L$26)</f>
        <v>1210.8</v>
      </c>
      <c r="F22" s="105">
        <f>I10*Rates!$L$25+((1000-I10)*Rates!$L$26)</f>
        <v>7754.4</v>
      </c>
      <c r="G22" s="106"/>
      <c r="I22" s="105">
        <f>(D22-D21)+(B22-B21)</f>
        <v>21.599999999999994</v>
      </c>
      <c r="J22" s="105">
        <f>(E22-E21)+(B22-B21)</f>
        <v>21.599999999999937</v>
      </c>
      <c r="K22" s="105">
        <f>(F22-F21)+(B22-B21)</f>
        <v>21.59999999999971</v>
      </c>
      <c r="U22" s="82"/>
    </row>
    <row r="23" spans="1:21" ht="24.75" customHeight="1" x14ac:dyDescent="0.2">
      <c r="A23" s="101" t="str">
        <f t="shared" si="8"/>
        <v>1"</v>
      </c>
      <c r="B23" s="102">
        <f t="shared" si="8"/>
        <v>191</v>
      </c>
      <c r="D23" s="105">
        <f>20*Rates!$L$25</f>
        <v>120.19999999999999</v>
      </c>
      <c r="E23" s="105">
        <f>I11*Rates!$L$25+((160-I11)*Rates!$L$26)</f>
        <v>1157.4000000000001</v>
      </c>
      <c r="F23" s="105">
        <f>I11*Rates!$L$25+((1000-I11)*Rates!$L$26)</f>
        <v>7701</v>
      </c>
      <c r="G23" s="106"/>
      <c r="I23" s="105">
        <f>(D23-D22)+(B23-B22)</f>
        <v>70.02000000000001</v>
      </c>
      <c r="J23" s="105">
        <f>(E23-E22)+(B23-B22)</f>
        <v>16.620000000000147</v>
      </c>
      <c r="K23" s="105">
        <f>(F23-F22)+(B23-B22)</f>
        <v>16.620000000000374</v>
      </c>
      <c r="U23" s="82"/>
    </row>
    <row r="24" spans="1:21" ht="24.75" customHeight="1" x14ac:dyDescent="0.2">
      <c r="A24" s="101" t="str">
        <f t="shared" si="8"/>
        <v>1 1/2"</v>
      </c>
      <c r="B24" s="102">
        <f t="shared" si="8"/>
        <v>365.12</v>
      </c>
      <c r="D24" s="105">
        <f>20*Rates!$L$25</f>
        <v>120.19999999999999</v>
      </c>
      <c r="E24" s="105">
        <f>I12*Rates!$L$25+((160-I12)*Rates!$L$26)</f>
        <v>1068.4000000000001</v>
      </c>
      <c r="F24" s="105">
        <f>I12*Rates!$L$25+((1000-I12)*Rates!$L$26)</f>
        <v>7612</v>
      </c>
      <c r="G24" s="106"/>
      <c r="I24" s="105">
        <f>(D24-D23)+(B24-B23)</f>
        <v>174.12</v>
      </c>
      <c r="J24" s="105">
        <f>(E24-E23)+(B24-B23)</f>
        <v>85.12</v>
      </c>
      <c r="K24" s="105">
        <f>(F24-F23)+(B24-B23)</f>
        <v>85.12</v>
      </c>
      <c r="O24" s="164"/>
      <c r="U24" s="82"/>
    </row>
    <row r="25" spans="1:21" ht="24.75" customHeight="1" x14ac:dyDescent="0.2">
      <c r="A25" s="101" t="str">
        <f t="shared" si="8"/>
        <v>2"</v>
      </c>
      <c r="B25" s="102">
        <f t="shared" si="8"/>
        <v>578.82000000000005</v>
      </c>
      <c r="D25" s="105">
        <f>20*Rates!$L$25</f>
        <v>120.19999999999999</v>
      </c>
      <c r="E25" s="105">
        <f>I13*Rates!$L$25+((160-I13)*Rates!$L$26)</f>
        <v>961.59999999999991</v>
      </c>
      <c r="F25" s="105">
        <f>I13*Rates!$L$25+((1000-I13)*Rates!$L$26)</f>
        <v>7505.2000000000007</v>
      </c>
      <c r="G25" s="106"/>
      <c r="I25" s="105">
        <f>(D25-D24)+(B25-B24)</f>
        <v>213.70000000000005</v>
      </c>
      <c r="J25" s="105">
        <f>(E25-E24)+(B25-B24)</f>
        <v>106.89999999999986</v>
      </c>
      <c r="K25" s="105">
        <f>(F25-F24)+(B25-B24)</f>
        <v>106.90000000000077</v>
      </c>
      <c r="O25" s="165"/>
      <c r="U25" s="82"/>
    </row>
    <row r="26" spans="1:21" ht="24.75" customHeight="1" x14ac:dyDescent="0.2">
      <c r="A26" s="101" t="str">
        <f t="shared" si="8"/>
        <v>3"</v>
      </c>
      <c r="B26" s="102">
        <f t="shared" si="8"/>
        <v>1135.32</v>
      </c>
      <c r="D26" s="105">
        <f>20*Rates!$L$25</f>
        <v>120.19999999999999</v>
      </c>
      <c r="E26" s="105">
        <f>160*Rates!$L$25</f>
        <v>961.59999999999991</v>
      </c>
      <c r="F26" s="105">
        <f>I14*Rates!$L$25+((1000-I14)*Rates!$L$26)</f>
        <v>7220.4</v>
      </c>
      <c r="G26" s="106"/>
      <c r="I26" s="105">
        <f>(D26-D25)+(B26-B25)</f>
        <v>556.49999999999989</v>
      </c>
      <c r="J26" s="105">
        <f>(E26-E25)+(B26-B25)</f>
        <v>556.49999999999989</v>
      </c>
      <c r="K26" s="105">
        <f>(F26-F25)+(B26-B25)</f>
        <v>271.69999999999879</v>
      </c>
      <c r="O26" s="165"/>
      <c r="U26" s="82"/>
    </row>
    <row r="27" spans="1:21" x14ac:dyDescent="0.2">
      <c r="J27" s="106"/>
      <c r="O27" s="164"/>
    </row>
    <row r="31" spans="1:21" ht="22.5" customHeight="1" x14ac:dyDescent="0.25">
      <c r="A31" s="107" t="s">
        <v>105</v>
      </c>
      <c r="B31" s="108"/>
      <c r="C31" s="108"/>
      <c r="D31" s="122"/>
      <c r="E31" s="98"/>
      <c r="F31" s="98"/>
      <c r="G31" s="98" t="str">
        <f>A2</f>
        <v>Service Charge</v>
      </c>
      <c r="H31" s="98"/>
      <c r="I31" s="160"/>
      <c r="J31" s="98"/>
      <c r="K31" s="98" t="str">
        <f>E2</f>
        <v>Effective 1/1/26</v>
      </c>
      <c r="L31" s="93"/>
      <c r="M31"/>
      <c r="N31"/>
      <c r="O31"/>
      <c r="P31"/>
      <c r="Q31"/>
      <c r="R31"/>
      <c r="S31"/>
      <c r="T31"/>
    </row>
    <row r="32" spans="1:21" ht="18" x14ac:dyDescent="0.2">
      <c r="A32" s="112" t="s">
        <v>104</v>
      </c>
      <c r="B32" s="114"/>
      <c r="C32" s="115"/>
      <c r="D32" s="115"/>
      <c r="E32"/>
      <c r="F32"/>
      <c r="G32" t="str">
        <f>A3</f>
        <v>Emergency Water Storage Fee (CWA)</v>
      </c>
      <c r="H32"/>
      <c r="I32" s="161"/>
      <c r="J32"/>
      <c r="K32" t="str">
        <f>E3</f>
        <v>Effective 1/1/25</v>
      </c>
      <c r="L32" s="124"/>
      <c r="M32"/>
      <c r="N32"/>
      <c r="O32"/>
      <c r="P32"/>
      <c r="Q32"/>
      <c r="R32"/>
      <c r="S32"/>
      <c r="T32"/>
    </row>
    <row r="33" spans="1:20" ht="18" x14ac:dyDescent="0.2">
      <c r="A33" s="112"/>
      <c r="B33" s="114"/>
      <c r="C33" s="115"/>
      <c r="D33" s="115"/>
      <c r="E33"/>
      <c r="F33"/>
      <c r="G33" t="str">
        <f>A4</f>
        <v>Tier Rate: Water Usage Charge</v>
      </c>
      <c r="H33"/>
      <c r="I33" s="161"/>
      <c r="J33"/>
      <c r="K33" t="str">
        <f>E4</f>
        <v>Effective 1/1/26</v>
      </c>
      <c r="L33" s="124"/>
      <c r="M33"/>
      <c r="N33"/>
      <c r="O33"/>
      <c r="P33"/>
      <c r="Q33"/>
      <c r="R33"/>
      <c r="S33"/>
      <c r="T33"/>
    </row>
    <row r="34" spans="1:20" ht="9.75" customHeight="1" x14ac:dyDescent="0.2">
      <c r="A34" s="112"/>
      <c r="B34" s="114"/>
      <c r="C34" s="115"/>
      <c r="D34" s="115"/>
      <c r="E34"/>
      <c r="F34"/>
      <c r="G34"/>
      <c r="H34"/>
      <c r="I34" s="161"/>
      <c r="J34"/>
      <c r="K34"/>
      <c r="L34" s="124"/>
      <c r="M34"/>
      <c r="N34"/>
      <c r="O34"/>
      <c r="P34"/>
      <c r="Q34"/>
      <c r="R34"/>
      <c r="S34"/>
      <c r="T34"/>
    </row>
    <row r="35" spans="1:20" ht="18" x14ac:dyDescent="0.2">
      <c r="A35" s="112"/>
      <c r="B35" s="114"/>
      <c r="C35" s="115"/>
      <c r="D35" s="115"/>
      <c r="E35"/>
      <c r="F35"/>
      <c r="G35"/>
      <c r="H35"/>
      <c r="I35" s="80" t="s">
        <v>120</v>
      </c>
      <c r="J35"/>
      <c r="K35" s="80" t="s">
        <v>120</v>
      </c>
      <c r="L35" s="124"/>
      <c r="M35"/>
      <c r="N35"/>
      <c r="O35"/>
      <c r="P35"/>
      <c r="Q35"/>
      <c r="R35"/>
      <c r="S35"/>
      <c r="T35"/>
    </row>
    <row r="36" spans="1:20" ht="18" x14ac:dyDescent="0.25">
      <c r="A36" s="123" t="s">
        <v>100</v>
      </c>
      <c r="B36" s="116"/>
      <c r="C36" s="117"/>
      <c r="D36" s="117"/>
      <c r="E36" s="113" t="s">
        <v>102</v>
      </c>
      <c r="F36"/>
      <c r="G36" s="80"/>
      <c r="H36" s="80"/>
      <c r="I36" s="80" t="s">
        <v>99</v>
      </c>
      <c r="J36"/>
      <c r="K36" s="80" t="s">
        <v>99</v>
      </c>
      <c r="L36" s="124"/>
      <c r="M36"/>
      <c r="N36"/>
      <c r="O36"/>
      <c r="P36"/>
      <c r="Q36"/>
      <c r="R36"/>
      <c r="S36"/>
      <c r="T36"/>
    </row>
    <row r="37" spans="1:20" ht="18" x14ac:dyDescent="0.25">
      <c r="A37" s="123" t="s">
        <v>101</v>
      </c>
      <c r="B37" s="116"/>
      <c r="C37" s="117"/>
      <c r="D37" s="117"/>
      <c r="E37" s="113" t="s">
        <v>103</v>
      </c>
      <c r="F37"/>
      <c r="G37" s="128"/>
      <c r="H37" s="128"/>
      <c r="I37" s="128" t="s">
        <v>78</v>
      </c>
      <c r="J37"/>
      <c r="K37" s="128" t="s">
        <v>77</v>
      </c>
      <c r="L37" s="124"/>
      <c r="M37"/>
      <c r="N37"/>
      <c r="O37"/>
      <c r="P37"/>
      <c r="Q37"/>
      <c r="R37"/>
      <c r="S37"/>
      <c r="T37"/>
    </row>
    <row r="38" spans="1:20" ht="9.9499999999999993" customHeight="1" x14ac:dyDescent="0.25">
      <c r="A38" s="123"/>
      <c r="B38" s="116"/>
      <c r="C38" s="117"/>
      <c r="D38" s="117"/>
      <c r="E38" s="113"/>
      <c r="F38"/>
      <c r="G38" s="80"/>
      <c r="H38" s="80"/>
      <c r="I38" s="80"/>
      <c r="J38"/>
      <c r="K38" s="80"/>
      <c r="L38" s="124"/>
      <c r="M38"/>
      <c r="N38"/>
      <c r="O38"/>
      <c r="P38"/>
      <c r="Q38"/>
      <c r="R38"/>
      <c r="S38"/>
      <c r="T38"/>
    </row>
    <row r="39" spans="1:20" ht="18" x14ac:dyDescent="0.25">
      <c r="A39" s="123" t="s">
        <v>89</v>
      </c>
      <c r="B39" s="109"/>
      <c r="C39" s="109"/>
      <c r="D39" s="118"/>
      <c r="E39" s="113"/>
      <c r="F39" s="125"/>
      <c r="G39" s="126"/>
      <c r="H39" s="127"/>
      <c r="I39" s="126">
        <f>$F22-$F21+(B22-B21)</f>
        <v>21.59999999999971</v>
      </c>
      <c r="J39" s="127" t="s">
        <v>98</v>
      </c>
      <c r="K39" s="126">
        <f>$D22-$D21+(B22-B21)</f>
        <v>21.599999999999994</v>
      </c>
      <c r="L39" s="124"/>
      <c r="M39"/>
      <c r="N39"/>
      <c r="O39"/>
      <c r="P39"/>
      <c r="Q39"/>
      <c r="R39"/>
      <c r="S39"/>
      <c r="T39"/>
    </row>
    <row r="40" spans="1:20" ht="18" x14ac:dyDescent="0.25">
      <c r="A40" s="123" t="s">
        <v>91</v>
      </c>
      <c r="B40" s="109"/>
      <c r="C40" s="109"/>
      <c r="D40" s="118"/>
      <c r="E40" s="113"/>
      <c r="F40" s="125"/>
      <c r="G40" s="126"/>
      <c r="H40" s="127"/>
      <c r="I40" s="126">
        <f>$F23-$F21+(B23-B21)</f>
        <v>38.220000000000084</v>
      </c>
      <c r="J40" s="127" t="s">
        <v>98</v>
      </c>
      <c r="K40" s="126">
        <f>$D23-$D21+(B23-B21)</f>
        <v>91.62</v>
      </c>
      <c r="L40" s="124"/>
      <c r="M40"/>
      <c r="N40"/>
      <c r="O40"/>
      <c r="P40"/>
      <c r="Q40"/>
      <c r="R40"/>
      <c r="S40"/>
      <c r="T40"/>
    </row>
    <row r="41" spans="1:20" ht="9.9499999999999993" customHeight="1" x14ac:dyDescent="0.25">
      <c r="A41" s="123"/>
      <c r="B41" s="109"/>
      <c r="C41" s="109"/>
      <c r="D41" s="118"/>
      <c r="E41" s="113"/>
      <c r="F41" s="113"/>
      <c r="G41" s="126"/>
      <c r="H41" s="126"/>
      <c r="I41" s="126"/>
      <c r="J41" s="126"/>
      <c r="K41" s="126"/>
      <c r="L41" s="124"/>
      <c r="M41"/>
      <c r="N41"/>
      <c r="O41"/>
      <c r="P41"/>
      <c r="Q41"/>
      <c r="R41"/>
      <c r="S41"/>
      <c r="T41"/>
    </row>
    <row r="42" spans="1:20" ht="9.9499999999999993" customHeight="1" x14ac:dyDescent="0.25">
      <c r="A42" s="123"/>
      <c r="B42" s="109"/>
      <c r="C42" s="109"/>
      <c r="D42" s="118"/>
      <c r="E42" s="113"/>
      <c r="F42" s="113"/>
      <c r="G42" s="126"/>
      <c r="H42" s="126"/>
      <c r="I42" s="126"/>
      <c r="J42" s="126"/>
      <c r="K42" s="126"/>
      <c r="L42" s="124"/>
      <c r="M42"/>
      <c r="N42"/>
      <c r="O42"/>
      <c r="P42"/>
      <c r="Q42"/>
      <c r="R42"/>
      <c r="S42"/>
      <c r="T42"/>
    </row>
    <row r="43" spans="1:20" ht="18" x14ac:dyDescent="0.25">
      <c r="A43" s="123" t="s">
        <v>92</v>
      </c>
      <c r="B43" s="109"/>
      <c r="C43" s="109"/>
      <c r="D43" s="118"/>
      <c r="E43" s="113" t="s">
        <v>106</v>
      </c>
      <c r="F43" s="125"/>
      <c r="G43" s="126"/>
      <c r="H43" s="127"/>
      <c r="I43" s="126">
        <f>$F23-$F22+(B23-B22)</f>
        <v>16.620000000000374</v>
      </c>
      <c r="J43" s="127" t="s">
        <v>98</v>
      </c>
      <c r="K43" s="126">
        <f>$D23-$D22+(B23-B22)</f>
        <v>70.02000000000001</v>
      </c>
      <c r="L43" s="124"/>
      <c r="M43"/>
      <c r="N43"/>
      <c r="O43"/>
      <c r="P43"/>
      <c r="Q43"/>
      <c r="R43"/>
      <c r="S43"/>
      <c r="T43"/>
    </row>
    <row r="44" spans="1:20" ht="18" x14ac:dyDescent="0.25">
      <c r="A44" s="123" t="s">
        <v>93</v>
      </c>
      <c r="B44" s="110"/>
      <c r="C44" s="111"/>
      <c r="D44" s="118"/>
      <c r="E44" s="113" t="s">
        <v>107</v>
      </c>
      <c r="F44" s="125"/>
      <c r="G44" s="126"/>
      <c r="H44" s="127"/>
      <c r="I44" s="126">
        <f>$F24-$F22+(B24-B22)</f>
        <v>101.74000000000038</v>
      </c>
      <c r="J44" s="127" t="s">
        <v>98</v>
      </c>
      <c r="K44" s="126">
        <f>$D24-$D22+(B24-B22)</f>
        <v>244.14000000000001</v>
      </c>
      <c r="L44" s="124"/>
      <c r="M44"/>
      <c r="N44"/>
      <c r="O44"/>
      <c r="P44"/>
      <c r="Q44"/>
      <c r="R44"/>
      <c r="S44"/>
      <c r="T44"/>
    </row>
    <row r="45" spans="1:20" ht="18" x14ac:dyDescent="0.25">
      <c r="A45" s="123" t="s">
        <v>94</v>
      </c>
      <c r="B45" s="110"/>
      <c r="C45" s="111"/>
      <c r="D45" s="118"/>
      <c r="E45" s="113" t="s">
        <v>108</v>
      </c>
      <c r="F45" s="125"/>
      <c r="G45" s="126"/>
      <c r="H45" s="127"/>
      <c r="I45" s="126">
        <f>$F25-$F22+(B25-B22)</f>
        <v>208.64000000000112</v>
      </c>
      <c r="J45" s="127" t="s">
        <v>98</v>
      </c>
      <c r="K45" s="126">
        <f>$D25-$D22+(B25-B22)</f>
        <v>457.84000000000003</v>
      </c>
      <c r="L45" s="124"/>
      <c r="M45"/>
      <c r="N45"/>
      <c r="O45"/>
      <c r="P45"/>
      <c r="Q45"/>
      <c r="R45"/>
      <c r="S45"/>
      <c r="T45"/>
    </row>
    <row r="46" spans="1:20" ht="9.9499999999999993" customHeight="1" x14ac:dyDescent="0.25">
      <c r="A46" s="123"/>
      <c r="B46" s="111"/>
      <c r="C46" s="111"/>
      <c r="D46" s="118"/>
      <c r="E46" s="113"/>
      <c r="F46" s="113"/>
      <c r="G46" s="126"/>
      <c r="H46" s="126"/>
      <c r="I46" s="126"/>
      <c r="J46" s="126"/>
      <c r="K46" s="126"/>
      <c r="L46" s="124"/>
      <c r="M46"/>
      <c r="N46"/>
      <c r="O46"/>
      <c r="P46"/>
      <c r="Q46"/>
      <c r="R46"/>
      <c r="S46"/>
      <c r="T46"/>
    </row>
    <row r="47" spans="1:20" ht="9.9499999999999993" customHeight="1" x14ac:dyDescent="0.25">
      <c r="A47" s="123"/>
      <c r="B47" s="111"/>
      <c r="C47" s="111"/>
      <c r="D47" s="118"/>
      <c r="E47" s="113"/>
      <c r="F47" s="113"/>
      <c r="G47" s="126"/>
      <c r="H47" s="126"/>
      <c r="I47" s="126"/>
      <c r="J47" s="126"/>
      <c r="K47" s="126"/>
      <c r="L47" s="124"/>
      <c r="M47"/>
      <c r="N47"/>
      <c r="O47"/>
      <c r="P47"/>
      <c r="Q47"/>
      <c r="R47"/>
      <c r="S47"/>
      <c r="T47"/>
    </row>
    <row r="48" spans="1:20" ht="18" x14ac:dyDescent="0.25">
      <c r="A48" s="123" t="s">
        <v>95</v>
      </c>
      <c r="B48" s="110"/>
      <c r="C48" s="111"/>
      <c r="D48" s="118"/>
      <c r="E48" s="113" t="s">
        <v>109</v>
      </c>
      <c r="F48" s="125"/>
      <c r="G48" s="126"/>
      <c r="H48" s="127"/>
      <c r="I48" s="126">
        <f>$F24-$F23+(B24-B23)</f>
        <v>85.12</v>
      </c>
      <c r="J48" s="127" t="s">
        <v>98</v>
      </c>
      <c r="K48" s="126">
        <f>$D24-$D23+(B24-B23)</f>
        <v>174.12</v>
      </c>
      <c r="L48" s="124"/>
      <c r="M48"/>
      <c r="N48"/>
      <c r="O48"/>
      <c r="P48"/>
      <c r="Q48"/>
      <c r="R48"/>
      <c r="S48"/>
      <c r="T48"/>
    </row>
    <row r="49" spans="1:20" ht="18" x14ac:dyDescent="0.25">
      <c r="A49" s="123" t="s">
        <v>96</v>
      </c>
      <c r="B49" s="110"/>
      <c r="C49" s="111"/>
      <c r="D49" s="118"/>
      <c r="E49" s="113" t="s">
        <v>110</v>
      </c>
      <c r="F49" s="125"/>
      <c r="G49" s="126"/>
      <c r="H49" s="127"/>
      <c r="I49" s="126">
        <f>$F25-$F23+(B25-B23)</f>
        <v>192.02000000000078</v>
      </c>
      <c r="J49" s="127" t="s">
        <v>98</v>
      </c>
      <c r="K49" s="126">
        <f>$D25-$D23+(B25-B23)</f>
        <v>387.82000000000005</v>
      </c>
      <c r="L49" s="124"/>
      <c r="M49"/>
      <c r="N49"/>
      <c r="O49"/>
      <c r="P49"/>
      <c r="Q49"/>
      <c r="R49"/>
      <c r="S49"/>
      <c r="T49"/>
    </row>
    <row r="50" spans="1:20" ht="18" x14ac:dyDescent="0.25">
      <c r="A50" s="123" t="s">
        <v>97</v>
      </c>
      <c r="B50" s="110"/>
      <c r="C50" s="111"/>
      <c r="D50" s="118"/>
      <c r="E50" s="113" t="s">
        <v>111</v>
      </c>
      <c r="F50" s="125"/>
      <c r="G50" s="126"/>
      <c r="H50" s="127"/>
      <c r="I50" s="126">
        <f>$F25-$F24+(B25-B24)</f>
        <v>106.90000000000077</v>
      </c>
      <c r="J50" s="127" t="s">
        <v>98</v>
      </c>
      <c r="K50" s="126">
        <f>$D25-$D24+(B25-B24)</f>
        <v>213.70000000000005</v>
      </c>
      <c r="L50" s="124"/>
      <c r="M50"/>
      <c r="N50"/>
      <c r="O50"/>
      <c r="P50"/>
      <c r="Q50"/>
      <c r="R50"/>
      <c r="S50"/>
      <c r="T50"/>
    </row>
    <row r="51" spans="1:20" ht="9.9499999999999993" customHeight="1" x14ac:dyDescent="0.25">
      <c r="A51" s="123"/>
      <c r="B51" s="119"/>
      <c r="C51" s="120"/>
      <c r="D51" s="121"/>
      <c r="E51"/>
      <c r="F51"/>
      <c r="G51"/>
      <c r="H51"/>
      <c r="I51"/>
      <c r="J51"/>
      <c r="K51"/>
      <c r="L51" s="124"/>
      <c r="M51"/>
      <c r="N51"/>
      <c r="O51"/>
      <c r="P51"/>
      <c r="Q51"/>
      <c r="R51"/>
      <c r="S51"/>
      <c r="T51"/>
    </row>
    <row r="52" spans="1:20" ht="84" customHeight="1" x14ac:dyDescent="0.2">
      <c r="A52" s="217" t="s">
        <v>112</v>
      </c>
      <c r="B52" s="218"/>
      <c r="C52" s="218"/>
      <c r="D52" s="218"/>
      <c r="E52" s="218"/>
      <c r="F52" s="218"/>
      <c r="G52" s="218"/>
      <c r="H52" s="218"/>
      <c r="I52" s="162"/>
      <c r="J52" s="162"/>
      <c r="K52" s="162"/>
      <c r="L52" s="163"/>
      <c r="M52"/>
      <c r="N52"/>
      <c r="O52"/>
      <c r="P52"/>
      <c r="Q52"/>
      <c r="R52"/>
      <c r="S52"/>
      <c r="T52"/>
    </row>
  </sheetData>
  <mergeCells count="21">
    <mergeCell ref="G6:G8"/>
    <mergeCell ref="I6:I8"/>
    <mergeCell ref="A18:A20"/>
    <mergeCell ref="J6:J8"/>
    <mergeCell ref="A52:H52"/>
    <mergeCell ref="I18:I20"/>
    <mergeCell ref="J18:J20"/>
    <mergeCell ref="E2:F2"/>
    <mergeCell ref="E3:F3"/>
    <mergeCell ref="E4:F4"/>
    <mergeCell ref="A6:A8"/>
    <mergeCell ref="D6:D8"/>
    <mergeCell ref="E6:E8"/>
    <mergeCell ref="K18:K20"/>
    <mergeCell ref="L6:L8"/>
    <mergeCell ref="N6:N8"/>
    <mergeCell ref="V6:V8"/>
    <mergeCell ref="O6:O8"/>
    <mergeCell ref="Q6:Q8"/>
    <mergeCell ref="S6:S8"/>
    <mergeCell ref="T6:T8"/>
  </mergeCells>
  <phoneticPr fontId="2" type="noConversion"/>
  <printOptions horizontalCentered="1" verticalCentered="1"/>
  <pageMargins left="0" right="0" top="0.75" bottom="0.7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Bill Calculator</vt:lpstr>
      <vt:lpstr>Rates</vt:lpstr>
      <vt:lpstr>Upsize-Downsize Bi-monthly Fees</vt:lpstr>
      <vt:lpstr>'Bill Calculator'!Print_Area</vt:lpstr>
      <vt:lpstr>'Upsize-Downsize Bi-monthly Fees'!Print_Area</vt:lpstr>
    </vt:vector>
  </TitlesOfParts>
  <Company>Vista Irrigation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Moses</dc:creator>
  <cp:lastModifiedBy>Shallako Goodrick</cp:lastModifiedBy>
  <cp:lastPrinted>2016-07-12T18:55:51Z</cp:lastPrinted>
  <dcterms:created xsi:type="dcterms:W3CDTF">2009-05-20T14:46:18Z</dcterms:created>
  <dcterms:modified xsi:type="dcterms:W3CDTF">2025-08-19T15:18:38Z</dcterms:modified>
</cp:coreProperties>
</file>